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215" windowHeight="7890" tabRatio="528" activeTab="0"/>
  </bookViews>
  <sheets>
    <sheet name="Planilha de Custos" sheetId="1" r:id="rId1"/>
    <sheet name="Cronograma Físico Financeiro" sheetId="2" r:id="rId2"/>
  </sheets>
  <definedNames>
    <definedName name="_xlnm.Print_Area" localSheetId="1">'Cronograma Físico Financeiro'!$A$1:$H$21</definedName>
    <definedName name="_xlnm.Print_Area" localSheetId="0">'Planilha de Custos'!$B$2:$K$86</definedName>
    <definedName name="_xlnm.Print_Titles" localSheetId="0">'Planilha de Custos'!$2:$12</definedName>
  </definedNames>
  <calcPr fullCalcOnLoad="1"/>
</workbook>
</file>

<file path=xl/comments1.xml><?xml version="1.0" encoding="utf-8"?>
<comments xmlns="http://schemas.openxmlformats.org/spreadsheetml/2006/main">
  <authors>
    <author>marcusborba</author>
  </authors>
  <commentList>
    <comment ref="L13" authorId="0">
      <text>
        <r>
          <rPr>
            <b/>
            <sz val="8"/>
            <rFont val="Tahoma"/>
            <family val="0"/>
          </rPr>
          <t>marcusborba: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<sst xmlns="http://schemas.openxmlformats.org/spreadsheetml/2006/main" count="397" uniqueCount="268">
  <si>
    <t>QUANT.</t>
  </si>
  <si>
    <t>01.00</t>
  </si>
  <si>
    <t>03.00</t>
  </si>
  <si>
    <t>04.00</t>
  </si>
  <si>
    <t>05.00</t>
  </si>
  <si>
    <t>FONTE</t>
  </si>
  <si>
    <t>02.00</t>
  </si>
  <si>
    <t>SERVIÇOS PRELIMINARES</t>
  </si>
  <si>
    <t>UNID.</t>
  </si>
  <si>
    <t>ITEM</t>
  </si>
  <si>
    <t>TOTAL</t>
  </si>
  <si>
    <t>m²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</si>
  <si>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</si>
  <si>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</si>
  <si>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</si>
  <si>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</si>
  <si>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</si>
  <si>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</si>
  <si>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</si>
  <si>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 xml:space="preserve"> </t>
  </si>
  <si>
    <t>1</t>
  </si>
  <si>
    <t>1.1</t>
  </si>
  <si>
    <t>1.2</t>
  </si>
  <si>
    <t>1.3</t>
  </si>
  <si>
    <t>2</t>
  </si>
  <si>
    <t>6.2</t>
  </si>
  <si>
    <t>6.3</t>
  </si>
  <si>
    <t>UNITÁRIO S/BDI</t>
  </si>
  <si>
    <t>UNITÁRIO C/BDI</t>
  </si>
  <si>
    <t>CUSTOS</t>
  </si>
  <si>
    <t>ORÇAMENTO</t>
  </si>
  <si>
    <t>DESCRIÇÃO DOS SERVIÇOS</t>
  </si>
  <si>
    <t>ORÇAMENTO DISCRIMINATIVO</t>
  </si>
  <si>
    <t>SECRETARIA</t>
  </si>
  <si>
    <t>OBRA</t>
  </si>
  <si>
    <t>ENDEREÇO:</t>
  </si>
  <si>
    <t>6.6</t>
  </si>
  <si>
    <t>CÓDIGO</t>
  </si>
  <si>
    <t>SINALIZAÇÃO VERTICAL</t>
  </si>
  <si>
    <t>SETOP</t>
  </si>
  <si>
    <t>SINALIZAÇÃO HORIZONTAL</t>
  </si>
  <si>
    <t>TONXKM</t>
  </si>
  <si>
    <t>FORNECIMENTO E COLOCAÇÃO DE PLACA DE OBRA EM CHAPA GALVANIZADA (3,00 X 1,50 M) - GOVERNO DO ESTADO</t>
  </si>
  <si>
    <t>IIO-PLA-005</t>
  </si>
  <si>
    <t>MEIO-FIO DE CONCRETO PRÉ-MOLDADO TIPO A - (12 X 16,7 X 35) CM</t>
  </si>
  <si>
    <t>URB-MFC-005</t>
  </si>
  <si>
    <t>OBR-VIA-130</t>
  </si>
  <si>
    <t>3</t>
  </si>
  <si>
    <t>3.1</t>
  </si>
  <si>
    <t>3.2</t>
  </si>
  <si>
    <t>4</t>
  </si>
  <si>
    <t>4.1</t>
  </si>
  <si>
    <t>4.3</t>
  </si>
  <si>
    <t>5</t>
  </si>
  <si>
    <t>5.2</t>
  </si>
  <si>
    <t>5.4</t>
  </si>
  <si>
    <t>6.1</t>
  </si>
  <si>
    <t>6.4</t>
  </si>
  <si>
    <t>6.5</t>
  </si>
  <si>
    <t>SINAPI</t>
  </si>
  <si>
    <t>PREFEITURA MINICIPAL DE LAGOA SANTA - MG</t>
  </si>
  <si>
    <t>PAI-GRA-005</t>
  </si>
  <si>
    <t>2.3</t>
  </si>
  <si>
    <t>2.4</t>
  </si>
  <si>
    <t>4.2</t>
  </si>
  <si>
    <t>5.1</t>
  </si>
  <si>
    <t>5.3</t>
  </si>
  <si>
    <t>SARJETA EM CONCRETO, PREPARO MANUAL, COM SEIXO ROLADO, ESPESSURA = 8CM M</t>
  </si>
  <si>
    <t>74012/001</t>
  </si>
  <si>
    <t>ESCAVAÇÃO E TERRAPLANAGEM</t>
  </si>
  <si>
    <t>DESMATAMENTO, DESTOCAMENTO E LIMPEZA DE ÁRVORES, ARBUSTOS E VEGETAÇÃO RASTEIRA E = 30 CM</t>
  </si>
  <si>
    <t xml:space="preserve">OBR-VIA-005 </t>
  </si>
  <si>
    <t xml:space="preserve">PESO ESPECIFICO DO CBUQ </t>
  </si>
  <si>
    <t>COMPRIMENTO CANTEIRO CENTRAL</t>
  </si>
  <si>
    <t>ESPESSURA DO CBUQ</t>
  </si>
  <si>
    <r>
      <t xml:space="preserve">COMPRIMENTO DA VIA </t>
    </r>
    <r>
      <rPr>
        <b/>
        <sz val="20"/>
        <color indexed="10"/>
        <rFont val="Arial"/>
        <family val="2"/>
      </rPr>
      <t>(m)</t>
    </r>
  </si>
  <si>
    <r>
      <t xml:space="preserve">LARGURA DE CAIXA </t>
    </r>
    <r>
      <rPr>
        <b/>
        <sz val="20"/>
        <color indexed="10"/>
        <rFont val="Arial"/>
        <family val="2"/>
      </rPr>
      <t>( m )</t>
    </r>
  </si>
  <si>
    <r>
      <t xml:space="preserve">ESPESSURA  DA SUBBASE </t>
    </r>
    <r>
      <rPr>
        <b/>
        <sz val="20"/>
        <color indexed="10"/>
        <rFont val="Arial"/>
        <family val="2"/>
      </rPr>
      <t>( h )</t>
    </r>
  </si>
  <si>
    <r>
      <t xml:space="preserve">ESPESSURA DA BASE </t>
    </r>
    <r>
      <rPr>
        <b/>
        <sz val="20"/>
        <color indexed="10"/>
        <rFont val="Arial"/>
        <family val="2"/>
      </rPr>
      <t>( h )</t>
    </r>
  </si>
  <si>
    <r>
      <t xml:space="preserve">SARJETA </t>
    </r>
    <r>
      <rPr>
        <b/>
        <sz val="20"/>
        <color indexed="10"/>
        <rFont val="Arial"/>
        <family val="2"/>
      </rPr>
      <t>( L)</t>
    </r>
  </si>
  <si>
    <r>
      <t xml:space="preserve">PASSEIO </t>
    </r>
    <r>
      <rPr>
        <b/>
        <sz val="20"/>
        <color indexed="10"/>
        <rFont val="Arial"/>
        <family val="2"/>
      </rPr>
      <t>(L)</t>
    </r>
  </si>
  <si>
    <r>
      <t>CANTEIRO CENTRAL</t>
    </r>
    <r>
      <rPr>
        <b/>
        <sz val="20"/>
        <color indexed="10"/>
        <rFont val="Arial"/>
        <family val="2"/>
      </rPr>
      <t xml:space="preserve"> ( L )</t>
    </r>
  </si>
  <si>
    <r>
      <t xml:space="preserve">VIA A SER PAVIMENTADA </t>
    </r>
    <r>
      <rPr>
        <b/>
        <sz val="20"/>
        <color indexed="10"/>
        <rFont val="Arial"/>
        <family val="2"/>
      </rPr>
      <t>( L )</t>
    </r>
  </si>
  <si>
    <t>EXECUÇÃO DE PINTURA DE LIGAÇÃO COM MATERIAL BETUMINOSO COM RR 1C, INCLUSIVE FORNECIMENTO DO MATERIAL BETUMINOSO NA OBRA</t>
  </si>
  <si>
    <t>REGULARIZAÇÃO E COMPACTAÇÃO DO SUB-LEITO COM PROCTOR INTERMEDIÁRIO</t>
  </si>
  <si>
    <t>M²</t>
  </si>
  <si>
    <t>M³</t>
  </si>
  <si>
    <t>ADMINISTRAÇÃO DA OBRA</t>
  </si>
  <si>
    <t>ENGENHEIRO PLENO</t>
  </si>
  <si>
    <t>TÉCNICO DE SEGURANÇA DO TRABALHO</t>
  </si>
  <si>
    <t>ENCARREGADO DE OBRA</t>
  </si>
  <si>
    <t>VIGIA OU SEGURANÇA</t>
  </si>
  <si>
    <t>MÊS</t>
  </si>
  <si>
    <t>EXECUÇÃO DE LINHAS COM RESINA ACRILICA COM E=0,6MM, L=10CM, INCLUINDO PRÉ-MARCAÇÃO, FORNECIMENTO E TRANSPORTE DE TODOS OS MATERIAIS</t>
  </si>
  <si>
    <t>EXECUÇÃO DE LINHAS COM RESINA ACRILICA COM E=0,6MM, L=20CM, INCLUINDO PRÉ-MARCAÇÃO, FORNECIMENTO E TRANSPORTE DE TODOS OS MATERIAIS</t>
  </si>
  <si>
    <t>EXECUÇÃO DE LINHAS COM RESINA ACRILICA COM E=0,6MM, L=30CM, INCLUINDO PRÉ-MARCAÇÃO, FORNECIMENTO E TRANSPORTE DE TODOS OS MATERIAIS</t>
  </si>
  <si>
    <t>EXECUÇÃO DE LINHAS COM RESINA ACRILICA COM E=0,6MM, L&gt;30CM, INCLUINDO PRÉ-MARCAÇÃO, FORNECIMENTO E TRANSPORTE DE TODOS OS MATERIAIS</t>
  </si>
  <si>
    <t>EXECUÇÃO DE SETAS E DIZERES COM E=0,6MM, INCLUINDO PRÉ-MARCAÇÃO, FORNECIMENTO E TRANSPORTE DE TODOS OS MATERIAIS</t>
  </si>
  <si>
    <t>EXECUÇÃO DE TACHA REFLETIVA TIPO SHTRP, COM CATADIOTRICO EM APENAS UMA FACE, INCLUINDO FORNECIMENTO, COLOCAÇÃO E TRANSPORTE DE TODOS OS MATERIAIS</t>
  </si>
  <si>
    <t>EXECUÇÃO DE TACHÃO REFLETIVO TIPO SHTRG, COM CATADIOTRICO NAS DUAS FACES, INCLUINDO FORNECIMENTO, COLOCAÇÃO E TRANSPORTE DE TODOS OS MATERIAIS</t>
  </si>
  <si>
    <t>OBRAS COMPLEMENTARES / DRENAGEM</t>
  </si>
  <si>
    <t>UNID</t>
  </si>
  <si>
    <t xml:space="preserve">CAIXA PARA BOCA DE LOBO DUPLA </t>
  </si>
  <si>
    <t>SUDECAP</t>
  </si>
  <si>
    <t>CONJUNTO QUADRO E GRELHA PARA BOCA DE LOBO TIPO B (CONCRETO) - PADRAO SUDECAP</t>
  </si>
  <si>
    <t>CANTONEIRA PARA BOCA DE LOBO TIPO B (CONCRETO) - PADRAO SUDECAP</t>
  </si>
  <si>
    <t>19.13.02</t>
  </si>
  <si>
    <t>19.14.02</t>
  </si>
  <si>
    <t>19.11.02</t>
  </si>
  <si>
    <r>
      <t>VOLUME DE CORTE</t>
    </r>
    <r>
      <rPr>
        <b/>
        <sz val="20"/>
        <color indexed="10"/>
        <rFont val="Arial"/>
        <family val="2"/>
      </rPr>
      <t xml:space="preserve"> ( M³ )</t>
    </r>
  </si>
  <si>
    <r>
      <t xml:space="preserve">VOLUME DE ATERRO </t>
    </r>
    <r>
      <rPr>
        <b/>
        <sz val="20"/>
        <color indexed="10"/>
        <rFont val="Arial"/>
        <family val="2"/>
      </rPr>
      <t>( M³ )</t>
    </r>
  </si>
  <si>
    <t>M³XKM</t>
  </si>
  <si>
    <t>4.4</t>
  </si>
  <si>
    <t>4.5</t>
  </si>
  <si>
    <t>4.6</t>
  </si>
  <si>
    <t>4.7</t>
  </si>
  <si>
    <t>5.5</t>
  </si>
  <si>
    <t>5.6</t>
  </si>
  <si>
    <t>5.7</t>
  </si>
  <si>
    <t>M</t>
  </si>
  <si>
    <t>MEIO FIO  PASSEIO E CANTEIRO CENTRAL</t>
  </si>
  <si>
    <t>AVENIDA DE INTEGRAÇÃO</t>
  </si>
  <si>
    <t>ADM-ENG-010</t>
  </si>
  <si>
    <t>ADM-TEC-010</t>
  </si>
  <si>
    <t>ADM-ENC-005</t>
  </si>
  <si>
    <t>ADM-VIG-005</t>
  </si>
  <si>
    <t>OBR-VIA-160</t>
  </si>
  <si>
    <t>OBR-VIA-165</t>
  </si>
  <si>
    <t>OBR-VIA-180</t>
  </si>
  <si>
    <t>OBR-VIA-245</t>
  </si>
  <si>
    <t>OBR-VIA-250</t>
  </si>
  <si>
    <t>OBR-VIA-255</t>
  </si>
  <si>
    <t>OBR-VIA-260</t>
  </si>
  <si>
    <t>OBR-VIA-265</t>
  </si>
  <si>
    <t>OBR-VIA-235</t>
  </si>
  <si>
    <t>OBR-VIA-230</t>
  </si>
  <si>
    <t>PLACA DE REGULAMENTAÇÃO OCTOGONAL L=0,25M EM CHAPA DE AÇO #18 PELÍCULA GT. (R1)</t>
  </si>
  <si>
    <t>PLACA DE REGULAMENTAÇÃO  CIRCULAR D=0,50M EM CHAPA DE AÇO #18 PELÍCULA GT</t>
  </si>
  <si>
    <t>PLACA INDICATIVA EM CHAPA DE AÇO # 18 PELÍCULA GT</t>
  </si>
  <si>
    <t>SUPORTE EM AÇO, GALVANIZADO A QUENTE, DIAMETRO 60,3 ESPESSURA 2,65 MM</t>
  </si>
  <si>
    <t>SUPORTE EM AÇO, GALVANIZADO A QUENTE, DIAMETRO 76,2  ESPESSURA 3,25MM</t>
  </si>
  <si>
    <t>IMPLANTAÇÃO DE PLACA EM SUPORTE SIMPLES</t>
  </si>
  <si>
    <t>IMPLANTAÇÃO DE SUPORTE SIMPLES</t>
  </si>
  <si>
    <t>EXECUÇÃO DE IMPRIMAÇÃO COM MATERIAL BETUMINOSO, INCLUINDO FORNECIMENTO E TRANSPORTE DO MATERIAL BETUMINOSO DENTRO DOCANTEIRO DE OBRAS, EXCLUSIVE TRANSPORTE DO MATERIAL BETUMINOSO ATÉ A USINA</t>
  </si>
  <si>
    <t>IMRPIMAÇÃO PESO ESPECIFICO = 1,4L/M²</t>
  </si>
  <si>
    <t>PAVIMENTAÇÃO ASFALTICA</t>
  </si>
  <si>
    <t>2.1</t>
  </si>
  <si>
    <t>2.2</t>
  </si>
  <si>
    <t>4.8</t>
  </si>
  <si>
    <t>4.9</t>
  </si>
  <si>
    <t>4.10</t>
  </si>
  <si>
    <t>4.11</t>
  </si>
  <si>
    <t>6</t>
  </si>
  <si>
    <t>6.7</t>
  </si>
  <si>
    <t>7.1</t>
  </si>
  <si>
    <t>7.2</t>
  </si>
  <si>
    <t>7.3</t>
  </si>
  <si>
    <t>7.4</t>
  </si>
  <si>
    <t>7.5</t>
  </si>
  <si>
    <t>7.6</t>
  </si>
  <si>
    <t>7.7</t>
  </si>
  <si>
    <t>PASSEIOS DE CONCRETO E = 8 CM, FCK = 15 MPA PADRÃO PREFEITURA</t>
  </si>
  <si>
    <t>URB-PAS-005</t>
  </si>
  <si>
    <t>TER-REG-010</t>
  </si>
  <si>
    <t>5.8</t>
  </si>
  <si>
    <t>5.9</t>
  </si>
  <si>
    <t>TER-REG-005</t>
  </si>
  <si>
    <t>REGULARIZAÇÃO E COMPACTAÇÃO DE TERRENO COM PLACA VIBRATÓRIA ( PASSEIO )</t>
  </si>
  <si>
    <t>REGULARIZAÇÃO E COMPACTAÇÃO DE TERRENO COM SOQUETE( CANTEIRO CENTRAL )</t>
  </si>
  <si>
    <t>ESCAVACAO E ACERTO MANUAL NA FAIXA DE 0,45M DE LARGURA P/ EXECUCAO  DE MEIO-FIO E SARJETA CONJUGADOS</t>
  </si>
  <si>
    <t>MEIO FIO  E SARJETA COMPRIMENTO</t>
  </si>
  <si>
    <t xml:space="preserve"> PLANTIO DE GRAMA BATATAIS EM PLACAS, INCLUSIVE TERRA VEGETAL E CONSERVAÇÃO POR 30 DIAS</t>
  </si>
  <si>
    <r>
      <t xml:space="preserve">MEIO FIO CICLOVIA </t>
    </r>
    <r>
      <rPr>
        <b/>
        <sz val="20"/>
        <color indexed="10"/>
        <rFont val="Arial"/>
        <family val="2"/>
      </rPr>
      <t>( M )</t>
    </r>
  </si>
  <si>
    <r>
      <t>ÁREA ROTATÓRIA  VIA DO PAVIMENTO</t>
    </r>
    <r>
      <rPr>
        <b/>
        <sz val="20"/>
        <color indexed="10"/>
        <rFont val="Arial"/>
        <family val="2"/>
      </rPr>
      <t>m²</t>
    </r>
  </si>
  <si>
    <t>MÊS 4</t>
  </si>
  <si>
    <t>5.10</t>
  </si>
  <si>
    <t>LOCAL: AVENIDA DE INTEGRAÇÃO</t>
  </si>
  <si>
    <t>PRAZO DA OBRA: 04 MESES</t>
  </si>
  <si>
    <t>ESCAVAÇÃO E CARGA COM TRATOR E CARREGADEIRA (MATERIAL DE 1ª CATEGORIA)</t>
  </si>
  <si>
    <t>m³</t>
  </si>
  <si>
    <t>OBR-VIA-015</t>
  </si>
  <si>
    <t>OBR-VIA-025</t>
  </si>
  <si>
    <t>3.3</t>
  </si>
  <si>
    <t/>
  </si>
  <si>
    <t>BDI PROPOSTO - 33%</t>
  </si>
  <si>
    <t>VB</t>
  </si>
  <si>
    <t>ESCRITÓRIO DA EMPREITEIRA TIPO II,A = 21,78 m2 (OBRA DE GRANDE PORTE,
EFETIVO ACIMA 60 HOMENS, DE LONGA DURAÇÃO)</t>
  </si>
  <si>
    <t>1.4</t>
  </si>
  <si>
    <t>BARRACÃO PESSOAL - VESTIÁRIO TIPO II, A = 67,76 m2 (OBRA DE MÉDIO
PORTE, EFETIVO DE 30 A 60 HOMENS)</t>
  </si>
  <si>
    <t>1.5</t>
  </si>
  <si>
    <t>BARRACÃO DEPÓSITO E FERRAMENTARIA TIPO II, A = 25,41 m2 (OBRA DE
MÉDIO PORTE, EFETIVO DE 30 A 60 HOMENS)</t>
  </si>
  <si>
    <t>1.6</t>
  </si>
  <si>
    <t>1.7</t>
  </si>
  <si>
    <t>BARRACÃO REFEITÓRIO TIPO II, A = 25,41 m2 (OBRA DE GRANDE PORTE,
EFETIVO ACIMA DE 60 HOMENS)</t>
  </si>
  <si>
    <t>1.8</t>
  </si>
  <si>
    <t>DEPÓSITO DE MATERIAIS ENSACADOS.</t>
  </si>
  <si>
    <t>1.9</t>
  </si>
  <si>
    <t>INSTALAÇÃO PROVISORIA DE ENERGIA - CEMIG</t>
  </si>
  <si>
    <t>1.10</t>
  </si>
  <si>
    <t>INSTALAÇÃO PROVISORIA DE AGUA E ESGOTO - COPASA</t>
  </si>
  <si>
    <t>OBR-VIA-151</t>
  </si>
  <si>
    <t xml:space="preserve">EXECUÇÃO DE CONCRETO BETUMINOSO USINADO A QUENTE (CBUQ) COM MATERIAL BETUMINOSO, INCLUINDO  ORNECIMENTO DOS AGREGADOS E TRANSPORTE DO MATERIAL BETUMINOSO DENTRO DO CANTEIRO DE OBRAS EXCLUSIVE TRANSPORTE DO MATERIAL BETUMINOSO E AGREGADOS ATÉ A USINA </t>
  </si>
  <si>
    <t>ENGENHEIRO DE OBRA JUNIOR</t>
  </si>
  <si>
    <t>ALMOXARIFE</t>
  </si>
  <si>
    <t>20.04.03</t>
  </si>
  <si>
    <t>IIO-BAR-010</t>
  </si>
  <si>
    <t>IIO-ESC-020</t>
  </si>
  <si>
    <t>IIO-BAR-020</t>
  </si>
  <si>
    <t>BARRACÃO INSTALAÇÃO SANITÁRIA TIPO II, A = 18,15 m2 (OBRA DE MÉDIO
PORTE, EFETIVO DE 30 A 60 HOMENS)</t>
  </si>
  <si>
    <t>IIO-BAR-030</t>
  </si>
  <si>
    <t>IIO-BAR-045</t>
  </si>
  <si>
    <t>01.02.15</t>
  </si>
  <si>
    <t>01.06.01</t>
  </si>
  <si>
    <t>01.06.05</t>
  </si>
  <si>
    <t>ADM-ENG-005</t>
  </si>
  <si>
    <t>ADM-ALM-005</t>
  </si>
  <si>
    <t>2.5</t>
  </si>
  <si>
    <t>2.6</t>
  </si>
  <si>
    <t>ESCAVAÇÃO MECANICA DE VALAS COM DESCARGA SOBRE CAMINHÃO H &lt;= 1,50M</t>
  </si>
  <si>
    <t>REATERRO DE VALA COMPACTADA COM EQUIPAMENTO PLACA VIBRATORIA OU SIMILAR</t>
  </si>
  <si>
    <t>ENROCAMENTO COM PEDRA DE MÃO ARRUMADA</t>
  </si>
  <si>
    <t>REDE TUBULAR DE CONCRETO CIMENRO ARI PLUS RS CLASE PA-1 (DN = 800MM)</t>
  </si>
  <si>
    <t>POÇO DE VISITA TIPO A PADRÃO SUDECAP DN = 800</t>
  </si>
  <si>
    <t>REDE TUBULAR DE CONCRETO CIMENRO ARI PLUS RS CLASE PA-1 (DN = 1200MM)</t>
  </si>
  <si>
    <t>TER-ESC-055</t>
  </si>
  <si>
    <t>TER-REA-010</t>
  </si>
  <si>
    <t>05.01.02</t>
  </si>
  <si>
    <t>TRA-CAM-015</t>
  </si>
  <si>
    <t>TRANSPORTE DE MATERIAL DE QUALQUER NATUREZA EM CAMINHÃO 2 KM &lt; DMT &lt;= 5 KM (DENTRO DO PERÍMETRO URBANO)</t>
  </si>
  <si>
    <t>19.06.05</t>
  </si>
  <si>
    <t>19.06.09</t>
  </si>
  <si>
    <t>19.18.0</t>
  </si>
  <si>
    <t>5.11</t>
  </si>
  <si>
    <t>5.12</t>
  </si>
  <si>
    <t>5.13</t>
  </si>
  <si>
    <t>5.14</t>
  </si>
  <si>
    <t>5.15</t>
  </si>
  <si>
    <t>5.16</t>
  </si>
  <si>
    <t>5.17</t>
  </si>
  <si>
    <t>MOB-DES-015</t>
  </si>
  <si>
    <t>OBRAS COM VALORES ACIMA DE 3.000.000,00 -- ( 1,00 % DA OBRA )</t>
  </si>
  <si>
    <t>ESCORAMENTO DESCONTINUO DE VALAS - PADRAO SUDECAP</t>
  </si>
  <si>
    <t>19.32.01</t>
  </si>
  <si>
    <t xml:space="preserve"> Sinapi Abr 2011 / Setop Maio 2011/ Sudecap Fev 2011</t>
  </si>
  <si>
    <t>5.18</t>
  </si>
  <si>
    <t xml:space="preserve">TRANSPORTE DO MATERIAL PARA A SUB-BASE COM DMT = 25,5KM ( CANTEIRO DE OBRAS ) </t>
  </si>
  <si>
    <t>TRANSPORTE DO MATERIAL PARA A BASE COM DMT = 25,5  KM ( canteiro de obras )</t>
  </si>
  <si>
    <t>TRANSPORTE DO CBUQ DA USINA ATÉ A PISTA COM DMT = 51 KM</t>
  </si>
  <si>
    <t>OBR-VIA-340</t>
  </si>
  <si>
    <t>OBR-VIA-405</t>
  </si>
  <si>
    <t>TRANSPORTE DE PMF/CBUQ PARA CONSERVAÇÃO DMT ACIMA DE 50 KM</t>
  </si>
  <si>
    <t>OBR-VIA-425</t>
  </si>
  <si>
    <t xml:space="preserve">1,4L /M² = 1,4M³/M² </t>
  </si>
  <si>
    <t>1,4DM³ / 1000 = 0,0015M³/M²</t>
  </si>
  <si>
    <t>SECRETARIA MUNICIPAL DE DESENVOLVIMENTO ECONÔMICO - SETOR DE PROJETOS</t>
  </si>
  <si>
    <t>OBSERVAÇÃO</t>
  </si>
  <si>
    <t>TRANSPORTE MATERIAL DE QUALQUER NATUREZA DMT = 3,81 KM (EMPRESTIMO) - REFORÇO DO SUB-LEITO</t>
  </si>
  <si>
    <t>TRANSPORTE MATERIAL DE QUALQUER NATUREZA DMT = 3,81  KM (BOTA-FORA) - REFORÇO DO SUB-LEITO</t>
  </si>
  <si>
    <t>ESCAVAÇÃO E CARGA MECANIZADA EM MATERIAL DE 1ª CATEGORIA PARA REFORÇO DO SUBLEITO</t>
  </si>
  <si>
    <t>TER-ESC-015</t>
  </si>
  <si>
    <t>03.13.03</t>
  </si>
  <si>
    <t>4.12</t>
  </si>
  <si>
    <t>4.13</t>
  </si>
  <si>
    <t>4.14</t>
  </si>
  <si>
    <t>CARGA, TRANSPORTE E DESCARGA DE MATERIAL DE 1ª CATEGORIA</t>
  </si>
  <si>
    <t>EXECUÇÃO DE SUB-BASE DE BRITA GRADUADA (INCLUINDO ESCAVAÇÃO, CARGA, DESCARGA, ESPALHAMENTO, COMPACTAÇÃO DO MATERIAL E FORNECIMENTO DO MATERIAL</t>
  </si>
  <si>
    <t>EXECUÇÃO DE BASE DE BRITA GRADUADA, INCLUINDO FORNECIMENTO DA BRITA, CARGA, DESCARGA, ESPALHAMENTO E COMPACTAÇÃO DO MATERIAL (PROCTOR INTERMEDIÁRIO), EXCLUSIVE TRANSPORTE DO MATERIAL</t>
  </si>
  <si>
    <t>PAVIMENTAÇÃO AVENIDA DE INTEGRAÇÃO TRECHO EST.180 ATÉ EST 268</t>
  </si>
</sst>
</file>

<file path=xl/styles.xml><?xml version="1.0" encoding="utf-8"?>
<styleSheet xmlns="http://schemas.openxmlformats.org/spreadsheetml/2006/main">
  <numFmts count="6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(* #,##0.0000_);_(* \(#,##0.0000\);_(* &quot;-&quot;??_);_(@_)"/>
    <numFmt numFmtId="184" formatCode="_(* #,##0.000_);_(* \(#,##0.000\);_(* &quot;-&quot;??_);_(@_)"/>
    <numFmt numFmtId="185" formatCode="0.000"/>
    <numFmt numFmtId="186" formatCode="0.00000"/>
    <numFmt numFmtId="187" formatCode="[$-416]dddd\,\ d&quot; de &quot;mmmm&quot; de &quot;yyyy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&quot;Cr$&quot;#,##0_);\(&quot;Cr$&quot;#,##0\)"/>
    <numFmt numFmtId="195" formatCode="&quot;Cr$&quot;#,##0_);[Red]\(&quot;Cr$&quot;#,##0\)"/>
    <numFmt numFmtId="196" formatCode="&quot;Cr$&quot;#,##0.00_);\(&quot;Cr$&quot;#,##0.00\)"/>
    <numFmt numFmtId="197" formatCode="&quot;Cr$&quot;#,##0.00_);[Red]\(&quot;Cr$&quot;#,##0.00\)"/>
    <numFmt numFmtId="198" formatCode="_(&quot;Cr$&quot;* #,##0_);_(&quot;Cr$&quot;* \(#,##0\);_(&quot;Cr$&quot;* &quot;-&quot;_);_(@_)"/>
    <numFmt numFmtId="199" formatCode="_(&quot;Cr$&quot;* #,##0.00_);_(&quot;Cr$&quot;* \(#,##0.00\);_(&quot;Cr$&quot;* &quot;-&quot;??_);_(@_)"/>
    <numFmt numFmtId="200" formatCode="#,##0.0000_);\(#,##0.0000\)"/>
    <numFmt numFmtId="201" formatCode="0.0000%"/>
    <numFmt numFmtId="202" formatCode="#,##0.000_);[Red]\(#,##0.000\)"/>
    <numFmt numFmtId="203" formatCode="#,##0.0000_);[Red]\(#,##0.0000\)"/>
    <numFmt numFmtId="204" formatCode="0.0%"/>
    <numFmt numFmtId="205" formatCode="0.0"/>
    <numFmt numFmtId="206" formatCode="_(* #,##0.0_);_(* \(#,##0.0\);_(* &quot;-&quot;??_);_(@_)"/>
    <numFmt numFmtId="207" formatCode="_(* #,##0.0000_);_(* \(#,##0.0000\);_(* &quot;-&quot;????_);_(@_)"/>
    <numFmt numFmtId="208" formatCode="0.000%"/>
    <numFmt numFmtId="209" formatCode="dd/mm/yy;@"/>
    <numFmt numFmtId="210" formatCode="0.00_ ;[Red]\-0.00\ "/>
    <numFmt numFmtId="211" formatCode="#,##0.00_ ;[Red]\-#,##0.00\ "/>
    <numFmt numFmtId="212" formatCode="#,##0.00;[Red]#,##0.00"/>
    <numFmt numFmtId="213" formatCode="#,##0.000"/>
    <numFmt numFmtId="214" formatCode="#,##0.0000"/>
    <numFmt numFmtId="215" formatCode="0.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9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50" applyFill="1">
      <alignment/>
      <protection/>
    </xf>
    <xf numFmtId="0" fontId="0" fillId="24" borderId="0" xfId="50" applyFill="1" applyBorder="1">
      <alignment/>
      <protection/>
    </xf>
    <xf numFmtId="0" fontId="0" fillId="24" borderId="0" xfId="50" applyFont="1" applyFill="1" applyBorder="1">
      <alignment/>
      <protection/>
    </xf>
    <xf numFmtId="4" fontId="0" fillId="24" borderId="0" xfId="50" applyNumberFormat="1" applyFill="1">
      <alignment/>
      <protection/>
    </xf>
    <xf numFmtId="0" fontId="2" fillId="24" borderId="0" xfId="50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4" fontId="0" fillId="24" borderId="0" xfId="50" applyNumberFormat="1" applyFill="1" applyAlignment="1">
      <alignment wrapText="1"/>
      <protection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16" borderId="10" xfId="0" applyNumberFormat="1" applyFont="1" applyFill="1" applyBorder="1" applyAlignment="1">
      <alignment/>
    </xf>
    <xf numFmtId="0" fontId="0" fillId="24" borderId="0" xfId="50" applyFont="1" applyFill="1" applyAlignment="1">
      <alignment wrapText="1"/>
      <protection/>
    </xf>
    <xf numFmtId="0" fontId="2" fillId="24" borderId="0" xfId="50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211" fontId="0" fillId="0" borderId="0" xfId="0" applyNumberFormat="1" applyFont="1" applyFill="1" applyAlignment="1">
      <alignment horizontal="center" vertical="center" wrapText="1"/>
    </xf>
    <xf numFmtId="43" fontId="0" fillId="0" borderId="0" xfId="55" applyFont="1" applyFill="1" applyAlignment="1">
      <alignment horizontal="center" vertical="center" wrapText="1"/>
    </xf>
    <xf numFmtId="43" fontId="11" fillId="0" borderId="0" xfId="55" applyFont="1" applyFill="1" applyAlignment="1">
      <alignment horizontal="right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32" fillId="0" borderId="0" xfId="55" applyFont="1" applyFill="1" applyAlignment="1">
      <alignment horizontal="center" vertical="center" wrapText="1"/>
    </xf>
    <xf numFmtId="0" fontId="12" fillId="24" borderId="0" xfId="50" applyFont="1" applyFill="1" applyBorder="1" applyAlignment="1">
      <alignment vertical="center"/>
      <protection/>
    </xf>
    <xf numFmtId="10" fontId="3" fillId="16" borderId="0" xfId="50" applyNumberFormat="1" applyFont="1" applyFill="1" applyBorder="1" applyAlignment="1">
      <alignment vertical="top" wrapText="1"/>
      <protection/>
    </xf>
    <xf numFmtId="4" fontId="8" fillId="24" borderId="0" xfId="50" applyNumberFormat="1" applyFont="1" applyFill="1" applyBorder="1" applyAlignment="1">
      <alignment vertical="top" wrapText="1"/>
      <protection/>
    </xf>
    <xf numFmtId="10" fontId="8" fillId="24" borderId="0" xfId="50" applyNumberFormat="1" applyFont="1" applyFill="1" applyBorder="1" applyAlignment="1">
      <alignment vertical="top" wrapText="1"/>
      <protection/>
    </xf>
    <xf numFmtId="10" fontId="4" fillId="24" borderId="0" xfId="57" applyNumberFormat="1" applyFont="1" applyFill="1" applyBorder="1" applyAlignment="1">
      <alignment vertical="top" wrapText="1"/>
    </xf>
    <xf numFmtId="10" fontId="4" fillId="24" borderId="0" xfId="50" applyNumberFormat="1" applyFont="1" applyFill="1" applyBorder="1" applyAlignment="1">
      <alignment vertical="top" wrapText="1"/>
      <protection/>
    </xf>
    <xf numFmtId="10" fontId="9" fillId="24" borderId="0" xfId="53" applyNumberFormat="1" applyFont="1" applyFill="1" applyBorder="1" applyAlignment="1">
      <alignment vertical="top" wrapText="1"/>
    </xf>
    <xf numFmtId="39" fontId="9" fillId="24" borderId="0" xfId="55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210" fontId="0" fillId="0" borderId="10" xfId="0" applyNumberFormat="1" applyFont="1" applyFill="1" applyBorder="1" applyAlignment="1">
      <alignment horizontal="center" vertical="center" wrapText="1"/>
    </xf>
    <xf numFmtId="43" fontId="0" fillId="0" borderId="10" xfId="55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justify" vertical="center" wrapText="1"/>
    </xf>
    <xf numFmtId="0" fontId="0" fillId="17" borderId="10" xfId="0" applyFont="1" applyFill="1" applyBorder="1" applyAlignment="1">
      <alignment horizontal="center"/>
    </xf>
    <xf numFmtId="0" fontId="2" fillId="17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3" fontId="0" fillId="0" borderId="13" xfId="55" applyFont="1" applyFill="1" applyBorder="1" applyAlignment="1">
      <alignment horizontal="center" vertical="center"/>
    </xf>
    <xf numFmtId="43" fontId="0" fillId="0" borderId="12" xfId="55" applyFont="1" applyFill="1" applyBorder="1" applyAlignment="1">
      <alignment horizontal="right" vertical="center" wrapText="1"/>
    </xf>
    <xf numFmtId="43" fontId="33" fillId="17" borderId="12" xfId="55" applyFont="1" applyFill="1" applyBorder="1" applyAlignment="1">
      <alignment horizontal="right" vertical="center" wrapText="1"/>
    </xf>
    <xf numFmtId="43" fontId="0" fillId="0" borderId="13" xfId="55" applyFont="1" applyFill="1" applyBorder="1" applyAlignment="1">
      <alignment horizontal="center" vertical="center" wrapText="1"/>
    </xf>
    <xf numFmtId="43" fontId="32" fillId="17" borderId="13" xfId="55" applyFont="1" applyFill="1" applyBorder="1" applyAlignment="1">
      <alignment horizontal="center" vertical="center" wrapText="1"/>
    </xf>
    <xf numFmtId="43" fontId="0" fillId="17" borderId="13" xfId="55" applyFont="1" applyFill="1" applyBorder="1" applyAlignment="1">
      <alignment horizontal="center" vertical="center" wrapText="1"/>
    </xf>
    <xf numFmtId="43" fontId="0" fillId="17" borderId="12" xfId="55" applyFont="1" applyFill="1" applyBorder="1" applyAlignment="1">
      <alignment horizontal="right" vertical="center" wrapText="1"/>
    </xf>
    <xf numFmtId="43" fontId="0" fillId="0" borderId="13" xfId="55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43" fontId="0" fillId="0" borderId="14" xfId="55" applyFont="1" applyFill="1" applyBorder="1" applyAlignment="1">
      <alignment horizontal="right" vertical="center" wrapText="1"/>
    </xf>
    <xf numFmtId="43" fontId="0" fillId="0" borderId="16" xfId="55" applyFont="1" applyFill="1" applyBorder="1" applyAlignment="1">
      <alignment horizontal="center" vertical="center" wrapText="1"/>
    </xf>
    <xf numFmtId="10" fontId="8" fillId="0" borderId="17" xfId="50" applyNumberFormat="1" applyFont="1" applyFill="1" applyBorder="1" applyAlignment="1">
      <alignment horizontal="center" vertical="top" wrapText="1"/>
      <protection/>
    </xf>
    <xf numFmtId="10" fontId="3" fillId="0" borderId="17" xfId="50" applyNumberFormat="1" applyFont="1" applyFill="1" applyBorder="1" applyAlignment="1">
      <alignment vertical="top" wrapText="1"/>
      <protection/>
    </xf>
    <xf numFmtId="4" fontId="4" fillId="0" borderId="18" xfId="50" applyNumberFormat="1" applyFont="1" applyFill="1" applyBorder="1" applyAlignment="1">
      <alignment vertical="top" wrapText="1"/>
      <protection/>
    </xf>
    <xf numFmtId="4" fontId="8" fillId="0" borderId="18" xfId="50" applyNumberFormat="1" applyFont="1" applyFill="1" applyBorder="1" applyAlignment="1">
      <alignment vertical="top" wrapText="1"/>
      <protection/>
    </xf>
    <xf numFmtId="10" fontId="8" fillId="0" borderId="17" xfId="53" applyNumberFormat="1" applyFont="1" applyFill="1" applyBorder="1" applyAlignment="1">
      <alignment horizontal="center" vertical="top" wrapText="1"/>
    </xf>
    <xf numFmtId="10" fontId="8" fillId="0" borderId="18" xfId="53" applyNumberFormat="1" applyFont="1" applyFill="1" applyBorder="1" applyAlignment="1">
      <alignment horizontal="center" vertical="top" wrapText="1"/>
    </xf>
    <xf numFmtId="9" fontId="9" fillId="0" borderId="19" xfId="53" applyFont="1" applyFill="1" applyBorder="1" applyAlignment="1">
      <alignment horizontal="center" vertical="top" wrapText="1"/>
    </xf>
    <xf numFmtId="10" fontId="3" fillId="0" borderId="19" xfId="50" applyNumberFormat="1" applyFont="1" applyFill="1" applyBorder="1" applyAlignment="1">
      <alignment vertical="top" wrapText="1"/>
      <protection/>
    </xf>
    <xf numFmtId="10" fontId="9" fillId="0" borderId="20" xfId="53" applyNumberFormat="1" applyFont="1" applyFill="1" applyBorder="1" applyAlignment="1">
      <alignment vertical="top" wrapText="1"/>
    </xf>
    <xf numFmtId="4" fontId="9" fillId="0" borderId="21" xfId="50" applyNumberFormat="1" applyFont="1" applyFill="1" applyBorder="1" applyAlignment="1">
      <alignment horizontal="center" vertical="top" wrapText="1"/>
      <protection/>
    </xf>
    <xf numFmtId="4" fontId="3" fillId="0" borderId="21" xfId="50" applyNumberFormat="1" applyFont="1" applyFill="1" applyBorder="1" applyAlignment="1">
      <alignment vertical="top" wrapText="1"/>
      <protection/>
    </xf>
    <xf numFmtId="39" fontId="9" fillId="0" borderId="21" xfId="55" applyNumberFormat="1" applyFont="1" applyFill="1" applyBorder="1" applyAlignment="1">
      <alignment vertical="top" wrapText="1"/>
    </xf>
    <xf numFmtId="0" fontId="0" fillId="0" borderId="22" xfId="50" applyFill="1" applyBorder="1" applyAlignment="1">
      <alignment vertical="center"/>
      <protection/>
    </xf>
    <xf numFmtId="0" fontId="0" fillId="0" borderId="0" xfId="50" applyFill="1" applyBorder="1" applyAlignment="1">
      <alignment vertical="center"/>
      <protection/>
    </xf>
    <xf numFmtId="4" fontId="0" fillId="0" borderId="0" xfId="50" applyNumberFormat="1" applyFill="1" applyBorder="1" applyAlignment="1">
      <alignment vertical="center" wrapText="1"/>
      <protection/>
    </xf>
    <xf numFmtId="0" fontId="0" fillId="0" borderId="0" xfId="50" applyFont="1" applyFill="1" applyBorder="1" applyAlignment="1">
      <alignment vertical="center" wrapText="1"/>
      <protection/>
    </xf>
    <xf numFmtId="0" fontId="2" fillId="0" borderId="22" xfId="50" applyFont="1" applyFill="1" applyBorder="1" applyAlignment="1">
      <alignment wrapText="1"/>
      <protection/>
    </xf>
    <xf numFmtId="4" fontId="2" fillId="0" borderId="0" xfId="50" applyNumberFormat="1" applyFont="1" applyFill="1" applyBorder="1" applyAlignment="1">
      <alignment wrapText="1"/>
      <protection/>
    </xf>
    <xf numFmtId="0" fontId="2" fillId="0" borderId="0" xfId="50" applyFont="1" applyFill="1" applyBorder="1" applyAlignment="1">
      <alignment wrapText="1"/>
      <protection/>
    </xf>
    <xf numFmtId="0" fontId="2" fillId="0" borderId="22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 vertical="center"/>
      <protection/>
    </xf>
    <xf numFmtId="4" fontId="0" fillId="0" borderId="0" xfId="50" applyNumberFormat="1" applyFill="1" applyBorder="1" applyAlignment="1">
      <alignment wrapText="1"/>
      <protection/>
    </xf>
    <xf numFmtId="0" fontId="0" fillId="0" borderId="23" xfId="50" applyFill="1" applyBorder="1">
      <alignment/>
      <protection/>
    </xf>
    <xf numFmtId="0" fontId="0" fillId="16" borderId="0" xfId="0" applyFont="1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7" fillId="0" borderId="15" xfId="55" applyNumberFormat="1" applyFont="1" applyFill="1" applyBorder="1" applyAlignment="1">
      <alignment horizontal="center" vertical="center" wrapText="1"/>
    </xf>
    <xf numFmtId="0" fontId="37" fillId="0" borderId="18" xfId="55" applyNumberFormat="1" applyFont="1" applyFill="1" applyBorder="1" applyAlignment="1">
      <alignment horizontal="center" vertical="center" wrapText="1"/>
    </xf>
    <xf numFmtId="49" fontId="2" fillId="16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1" fillId="0" borderId="13" xfId="55" applyFont="1" applyFill="1" applyBorder="1" applyAlignment="1">
      <alignment horizontal="center" vertical="center"/>
    </xf>
    <xf numFmtId="43" fontId="11" fillId="0" borderId="13" xfId="55" applyFont="1" applyFill="1" applyBorder="1" applyAlignment="1">
      <alignment horizontal="center" vertical="center" wrapText="1"/>
    </xf>
    <xf numFmtId="43" fontId="2" fillId="17" borderId="10" xfId="55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center" vertical="center"/>
    </xf>
    <xf numFmtId="43" fontId="11" fillId="0" borderId="10" xfId="55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justify" vertical="center" wrapText="1"/>
    </xf>
    <xf numFmtId="210" fontId="0" fillId="0" borderId="25" xfId="0" applyNumberFormat="1" applyFont="1" applyFill="1" applyBorder="1" applyAlignment="1">
      <alignment horizontal="center" vertical="center" wrapText="1"/>
    </xf>
    <xf numFmtId="43" fontId="0" fillId="0" borderId="26" xfId="55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4" fontId="4" fillId="0" borderId="18" xfId="50" applyNumberFormat="1" applyFont="1" applyFill="1" applyBorder="1" applyAlignment="1" quotePrefix="1">
      <alignment vertical="top" wrapText="1"/>
      <protection/>
    </xf>
    <xf numFmtId="4" fontId="9" fillId="0" borderId="18" xfId="50" applyNumberFormat="1" applyFont="1" applyFill="1" applyBorder="1" applyAlignment="1">
      <alignment horizontal="center" vertical="top" wrapText="1"/>
      <protection/>
    </xf>
    <xf numFmtId="0" fontId="0" fillId="0" borderId="27" xfId="50" applyFill="1" applyBorder="1" applyAlignment="1">
      <alignment vertical="center"/>
      <protection/>
    </xf>
    <xf numFmtId="0" fontId="1" fillId="0" borderId="27" xfId="50" applyFont="1" applyFill="1" applyBorder="1" applyAlignment="1">
      <alignment vertical="center"/>
      <protection/>
    </xf>
    <xf numFmtId="10" fontId="3" fillId="0" borderId="28" xfId="50" applyNumberFormat="1" applyFont="1" applyFill="1" applyBorder="1" applyAlignment="1">
      <alignment vertical="top" wrapText="1"/>
      <protection/>
    </xf>
    <xf numFmtId="4" fontId="8" fillId="0" borderId="29" xfId="50" applyNumberFormat="1" applyFont="1" applyFill="1" applyBorder="1" applyAlignment="1">
      <alignment vertical="top" wrapText="1"/>
      <protection/>
    </xf>
    <xf numFmtId="10" fontId="9" fillId="0" borderId="30" xfId="53" applyNumberFormat="1" applyFont="1" applyFill="1" applyBorder="1" applyAlignment="1">
      <alignment vertical="top" wrapText="1"/>
    </xf>
    <xf numFmtId="39" fontId="9" fillId="0" borderId="31" xfId="55" applyNumberFormat="1" applyFont="1" applyFill="1" applyBorder="1" applyAlignment="1">
      <alignment vertical="top" wrapText="1"/>
    </xf>
    <xf numFmtId="0" fontId="0" fillId="0" borderId="32" xfId="50" applyFill="1" applyBorder="1">
      <alignment/>
      <protection/>
    </xf>
    <xf numFmtId="43" fontId="0" fillId="0" borderId="26" xfId="5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0" fillId="0" borderId="25" xfId="55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43" fontId="0" fillId="0" borderId="14" xfId="55" applyFont="1" applyFill="1" applyBorder="1" applyAlignment="1">
      <alignment vertical="center" wrapText="1"/>
    </xf>
    <xf numFmtId="43" fontId="0" fillId="0" borderId="34" xfId="55" applyFont="1" applyFill="1" applyBorder="1" applyAlignment="1">
      <alignment horizontal="right" vertical="center" wrapText="1"/>
    </xf>
    <xf numFmtId="43" fontId="0" fillId="0" borderId="35" xfId="55" applyFont="1" applyFill="1" applyBorder="1" applyAlignment="1">
      <alignment horizontal="right" vertical="center" wrapText="1"/>
    </xf>
    <xf numFmtId="43" fontId="0" fillId="0" borderId="33" xfId="55" applyFont="1" applyFill="1" applyBorder="1" applyAlignment="1">
      <alignment horizontal="right" vertical="center" wrapText="1"/>
    </xf>
    <xf numFmtId="49" fontId="2" fillId="16" borderId="36" xfId="0" applyNumberFormat="1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left" vertical="center" wrapText="1"/>
    </xf>
    <xf numFmtId="0" fontId="0" fillId="16" borderId="37" xfId="0" applyFont="1" applyFill="1" applyBorder="1" applyAlignment="1">
      <alignment horizontal="center" vertical="center"/>
    </xf>
    <xf numFmtId="43" fontId="0" fillId="16" borderId="39" xfId="55" applyFont="1" applyFill="1" applyBorder="1" applyAlignment="1">
      <alignment horizontal="center" vertical="center" wrapText="1"/>
    </xf>
    <xf numFmtId="43" fontId="2" fillId="16" borderId="37" xfId="55" applyFont="1" applyFill="1" applyBorder="1" applyAlignment="1">
      <alignment vertical="center" wrapText="1"/>
    </xf>
    <xf numFmtId="43" fontId="2" fillId="16" borderId="40" xfId="55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vertical="center"/>
      <protection/>
    </xf>
    <xf numFmtId="0" fontId="12" fillId="0" borderId="41" xfId="50" applyFont="1" applyFill="1" applyBorder="1" applyAlignment="1">
      <alignment vertical="center"/>
      <protection/>
    </xf>
    <xf numFmtId="0" fontId="2" fillId="0" borderId="22" xfId="50" applyFont="1" applyFill="1" applyBorder="1" applyAlignment="1">
      <alignment vertical="center"/>
      <protection/>
    </xf>
    <xf numFmtId="0" fontId="2" fillId="0" borderId="42" xfId="50" applyFont="1" applyFill="1" applyBorder="1" applyAlignment="1">
      <alignment horizontal="center" vertical="center"/>
      <protection/>
    </xf>
    <xf numFmtId="0" fontId="2" fillId="0" borderId="43" xfId="50" applyFont="1" applyFill="1" applyBorder="1" applyAlignment="1">
      <alignment horizontal="center" vertical="center"/>
      <protection/>
    </xf>
    <xf numFmtId="4" fontId="2" fillId="0" borderId="43" xfId="50" applyNumberFormat="1" applyFont="1" applyFill="1" applyBorder="1" applyAlignment="1">
      <alignment horizontal="center" vertical="center" wrapText="1"/>
      <protection/>
    </xf>
    <xf numFmtId="0" fontId="2" fillId="0" borderId="43" xfId="50" applyFont="1" applyFill="1" applyBorder="1" applyAlignment="1">
      <alignment horizontal="center" vertical="center" wrapText="1"/>
      <protection/>
    </xf>
    <xf numFmtId="0" fontId="2" fillId="0" borderId="44" xfId="50" applyFont="1" applyFill="1" applyBorder="1" applyAlignment="1">
      <alignment horizontal="center" vertical="center"/>
      <protection/>
    </xf>
    <xf numFmtId="10" fontId="3" fillId="16" borderId="17" xfId="50" applyNumberFormat="1" applyFont="1" applyFill="1" applyBorder="1" applyAlignment="1">
      <alignment vertical="top" wrapText="1"/>
      <protection/>
    </xf>
    <xf numFmtId="10" fontId="3" fillId="16" borderId="28" xfId="50" applyNumberFormat="1" applyFont="1" applyFill="1" applyBorder="1" applyAlignment="1">
      <alignment vertical="top" wrapText="1"/>
      <protection/>
    </xf>
    <xf numFmtId="0" fontId="1" fillId="0" borderId="0" xfId="50" applyFont="1" applyFill="1" applyBorder="1" applyAlignment="1">
      <alignment vertical="center"/>
      <protection/>
    </xf>
    <xf numFmtId="0" fontId="2" fillId="0" borderId="27" xfId="50" applyFont="1" applyFill="1" applyBorder="1" applyAlignment="1">
      <alignment wrapText="1"/>
      <protection/>
    </xf>
    <xf numFmtId="0" fontId="0" fillId="0" borderId="45" xfId="50" applyFont="1" applyFill="1" applyBorder="1">
      <alignment/>
      <protection/>
    </xf>
    <xf numFmtId="0" fontId="0" fillId="0" borderId="23" xfId="50" applyFont="1" applyFill="1" applyBorder="1">
      <alignment/>
      <protection/>
    </xf>
    <xf numFmtId="4" fontId="0" fillId="0" borderId="23" xfId="50" applyNumberFormat="1" applyFill="1" applyBorder="1" applyAlignment="1">
      <alignment wrapText="1"/>
      <protection/>
    </xf>
    <xf numFmtId="0" fontId="0" fillId="0" borderId="23" xfId="50" applyFont="1" applyFill="1" applyBorder="1" applyAlignment="1">
      <alignment wrapText="1"/>
      <protection/>
    </xf>
    <xf numFmtId="0" fontId="2" fillId="0" borderId="1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43" fontId="0" fillId="0" borderId="25" xfId="55" applyFont="1" applyFill="1" applyBorder="1" applyAlignment="1">
      <alignment horizontal="right" vertical="center" wrapText="1"/>
    </xf>
    <xf numFmtId="43" fontId="0" fillId="0" borderId="26" xfId="55" applyFont="1" applyFill="1" applyBorder="1" applyAlignment="1">
      <alignment horizontal="right" vertical="center" wrapText="1"/>
    </xf>
    <xf numFmtId="43" fontId="0" fillId="0" borderId="19" xfId="55" applyFont="1" applyFill="1" applyBorder="1" applyAlignment="1">
      <alignment horizontal="right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center"/>
    </xf>
    <xf numFmtId="43" fontId="0" fillId="0" borderId="34" xfId="55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justify" vertical="center" wrapText="1"/>
    </xf>
    <xf numFmtId="0" fontId="0" fillId="16" borderId="38" xfId="0" applyFont="1" applyFill="1" applyBorder="1" applyAlignment="1">
      <alignment horizontal="center"/>
    </xf>
    <xf numFmtId="43" fontId="32" fillId="16" borderId="39" xfId="55" applyFont="1" applyFill="1" applyBorder="1" applyAlignment="1">
      <alignment horizontal="center" vertical="center" wrapText="1"/>
    </xf>
    <xf numFmtId="43" fontId="33" fillId="16" borderId="37" xfId="55" applyFont="1" applyFill="1" applyBorder="1" applyAlignment="1">
      <alignment horizontal="right" vertical="center" wrapText="1"/>
    </xf>
    <xf numFmtId="43" fontId="2" fillId="16" borderId="39" xfId="55" applyFont="1" applyFill="1" applyBorder="1" applyAlignment="1">
      <alignment horizontal="right" vertical="center" wrapText="1"/>
    </xf>
    <xf numFmtId="43" fontId="0" fillId="16" borderId="37" xfId="55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/>
    </xf>
    <xf numFmtId="43" fontId="0" fillId="0" borderId="34" xfId="55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/>
    </xf>
    <xf numFmtId="43" fontId="2" fillId="16" borderId="38" xfId="55" applyFont="1" applyFill="1" applyBorder="1" applyAlignment="1">
      <alignment horizontal="right" vertical="center" wrapText="1"/>
    </xf>
    <xf numFmtId="0" fontId="0" fillId="0" borderId="19" xfId="0" applyFont="1" applyFill="1" applyBorder="1" applyAlignment="1" quotePrefix="1">
      <alignment horizontal="justify" vertical="center" wrapText="1"/>
    </xf>
    <xf numFmtId="210" fontId="0" fillId="0" borderId="19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210" fontId="0" fillId="0" borderId="33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/>
    </xf>
    <xf numFmtId="43" fontId="11" fillId="0" borderId="26" xfId="55" applyFont="1" applyFill="1" applyBorder="1" applyAlignment="1">
      <alignment horizontal="center" vertical="center" wrapText="1"/>
    </xf>
    <xf numFmtId="43" fontId="11" fillId="0" borderId="19" xfId="55" applyFont="1" applyFill="1" applyBorder="1" applyAlignment="1">
      <alignment horizontal="right" vertical="center" wrapText="1"/>
    </xf>
    <xf numFmtId="0" fontId="2" fillId="16" borderId="47" xfId="0" applyFont="1" applyFill="1" applyBorder="1" applyAlignment="1">
      <alignment vertical="center" wrapText="1"/>
    </xf>
    <xf numFmtId="0" fontId="2" fillId="16" borderId="48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/>
    </xf>
    <xf numFmtId="0" fontId="2" fillId="16" borderId="48" xfId="0" applyFont="1" applyFill="1" applyBorder="1" applyAlignment="1">
      <alignment vertical="center" wrapText="1"/>
    </xf>
    <xf numFmtId="0" fontId="2" fillId="16" borderId="39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43" fontId="2" fillId="16" borderId="39" xfId="0" applyNumberFormat="1" applyFont="1" applyFill="1" applyBorder="1" applyAlignment="1">
      <alignment vertical="center" wrapText="1"/>
    </xf>
    <xf numFmtId="0" fontId="2" fillId="16" borderId="4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quotePrefix="1">
      <alignment horizontal="justify" vertical="center" wrapText="1"/>
    </xf>
    <xf numFmtId="0" fontId="40" fillId="0" borderId="18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wrapText="1"/>
    </xf>
    <xf numFmtId="43" fontId="2" fillId="16" borderId="14" xfId="55" applyFont="1" applyFill="1" applyBorder="1" applyAlignment="1">
      <alignment horizontal="center" vertical="center" wrapText="1"/>
    </xf>
    <xf numFmtId="43" fontId="2" fillId="16" borderId="16" xfId="55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2" fillId="16" borderId="14" xfId="0" applyFont="1" applyFill="1" applyBorder="1" applyAlignment="1">
      <alignment horizontal="center" vertical="center" wrapText="1"/>
    </xf>
    <xf numFmtId="43" fontId="2" fillId="16" borderId="49" xfId="55" applyFont="1" applyFill="1" applyBorder="1" applyAlignment="1">
      <alignment horizontal="center" vertical="center"/>
    </xf>
    <xf numFmtId="43" fontId="2" fillId="16" borderId="50" xfId="55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10" fontId="10" fillId="0" borderId="23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43" fontId="2" fillId="16" borderId="51" xfId="55" applyFont="1" applyFill="1" applyBorder="1" applyAlignment="1">
      <alignment horizontal="center" vertical="center"/>
    </xf>
    <xf numFmtId="43" fontId="2" fillId="16" borderId="32" xfId="55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11" fontId="12" fillId="0" borderId="11" xfId="0" applyNumberFormat="1" applyFont="1" applyFill="1" applyBorder="1" applyAlignment="1">
      <alignment horizontal="center" vertical="center" wrapText="1"/>
    </xf>
    <xf numFmtId="211" fontId="12" fillId="0" borderId="51" xfId="0" applyNumberFormat="1" applyFont="1" applyFill="1" applyBorder="1" applyAlignment="1">
      <alignment horizontal="center" vertical="center" wrapText="1"/>
    </xf>
    <xf numFmtId="211" fontId="12" fillId="0" borderId="0" xfId="0" applyNumberFormat="1" applyFont="1" applyFill="1" applyBorder="1" applyAlignment="1">
      <alignment horizontal="center" vertical="center" wrapText="1"/>
    </xf>
    <xf numFmtId="211" fontId="12" fillId="0" borderId="27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3" fontId="2" fillId="16" borderId="52" xfId="55" applyFont="1" applyFill="1" applyBorder="1" applyAlignment="1">
      <alignment horizontal="center" vertical="center" wrapText="1"/>
    </xf>
    <xf numFmtId="43" fontId="2" fillId="16" borderId="53" xfId="55" applyFont="1" applyFill="1" applyBorder="1" applyAlignment="1">
      <alignment horizontal="center" vertical="center" wrapText="1"/>
    </xf>
    <xf numFmtId="43" fontId="2" fillId="16" borderId="54" xfId="55" applyFont="1" applyFill="1" applyBorder="1" applyAlignment="1">
      <alignment horizontal="center" vertical="center" wrapText="1"/>
    </xf>
    <xf numFmtId="43" fontId="2" fillId="16" borderId="55" xfId="5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16" borderId="56" xfId="0" applyFont="1" applyFill="1" applyBorder="1" applyAlignment="1">
      <alignment horizontal="center" vertical="center"/>
    </xf>
    <xf numFmtId="49" fontId="0" fillId="0" borderId="57" xfId="50" applyNumberFormat="1" applyFont="1" applyFill="1" applyBorder="1" applyAlignment="1">
      <alignment horizontal="center" vertical="center" wrapText="1"/>
      <protection/>
    </xf>
    <xf numFmtId="0" fontId="0" fillId="0" borderId="58" xfId="50" applyFill="1" applyBorder="1" applyAlignment="1">
      <alignment horizontal="center" vertical="center" wrapText="1"/>
      <protection/>
    </xf>
    <xf numFmtId="0" fontId="0" fillId="0" borderId="17" xfId="50" applyFill="1" applyBorder="1" applyAlignment="1">
      <alignment vertical="center" wrapText="1"/>
      <protection/>
    </xf>
    <xf numFmtId="0" fontId="0" fillId="0" borderId="18" xfId="50" applyFill="1" applyBorder="1" applyAlignment="1">
      <alignment vertical="center" wrapText="1"/>
      <protection/>
    </xf>
    <xf numFmtId="0" fontId="1" fillId="0" borderId="0" xfId="50" applyFont="1" applyFill="1" applyBorder="1" applyAlignment="1">
      <alignment horizontal="center" vertical="center"/>
      <protection/>
    </xf>
    <xf numFmtId="0" fontId="2" fillId="0" borderId="59" xfId="50" applyFont="1" applyFill="1" applyBorder="1" applyAlignment="1">
      <alignment horizontal="center" vertical="center" wrapText="1"/>
      <protection/>
    </xf>
    <xf numFmtId="0" fontId="2" fillId="0" borderId="25" xfId="50" applyFont="1" applyFill="1" applyBorder="1" applyAlignment="1">
      <alignment horizontal="center" vertical="center" wrapText="1"/>
      <protection/>
    </xf>
    <xf numFmtId="0" fontId="2" fillId="0" borderId="45" xfId="50" applyFont="1" applyFill="1" applyBorder="1" applyAlignment="1">
      <alignment horizontal="center" vertical="center" wrapText="1"/>
      <protection/>
    </xf>
    <xf numFmtId="0" fontId="2" fillId="0" borderId="55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27" xfId="50" applyFont="1" applyFill="1" applyBorder="1" applyAlignment="1">
      <alignment horizontal="center" vertical="center"/>
      <protection/>
    </xf>
    <xf numFmtId="0" fontId="12" fillId="0" borderId="11" xfId="50" applyFont="1" applyFill="1" applyBorder="1" applyAlignment="1">
      <alignment horizontal="center" vertical="center"/>
      <protection/>
    </xf>
    <xf numFmtId="0" fontId="12" fillId="0" borderId="51" xfId="50" applyFont="1" applyFill="1" applyBorder="1" applyAlignment="1">
      <alignment horizontal="center" vertical="center"/>
      <protection/>
    </xf>
    <xf numFmtId="0" fontId="0" fillId="0" borderId="60" xfId="50" applyFont="1" applyFill="1" applyBorder="1" applyAlignment="1">
      <alignment horizontal="center" vertical="center" wrapText="1"/>
      <protection/>
    </xf>
    <xf numFmtId="0" fontId="0" fillId="0" borderId="57" xfId="50" applyFill="1" applyBorder="1" applyAlignment="1">
      <alignment horizontal="center" vertical="center" wrapText="1"/>
      <protection/>
    </xf>
    <xf numFmtId="0" fontId="0" fillId="0" borderId="46" xfId="50" applyFill="1" applyBorder="1" applyAlignment="1">
      <alignment vertical="center" wrapText="1"/>
      <protection/>
    </xf>
    <xf numFmtId="0" fontId="0" fillId="0" borderId="60" xfId="50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3</xdr:col>
      <xdr:colOff>76200</xdr:colOff>
      <xdr:row>3</xdr:row>
      <xdr:rowOff>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52525"/>
          <a:ext cx="1895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333375</xdr:colOff>
      <xdr:row>0</xdr:row>
      <xdr:rowOff>590550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02"/>
  <sheetViews>
    <sheetView showGridLines="0" tabSelected="1" view="pageBreakPreview" zoomScale="70" zoomScaleNormal="85" zoomScaleSheetLayoutView="70" zoomScalePageLayoutView="0" workbookViewId="0" topLeftCell="B41">
      <selection activeCell="H64" sqref="H64"/>
    </sheetView>
  </sheetViews>
  <sheetFormatPr defaultColWidth="9.140625" defaultRowHeight="12.75"/>
  <cols>
    <col min="1" max="1" width="22.57421875" style="10" customWidth="1"/>
    <col min="2" max="2" width="9.28125" style="10" bestFit="1" customWidth="1"/>
    <col min="3" max="3" width="18.8515625" style="14" customWidth="1"/>
    <col min="4" max="4" width="17.00390625" style="14" customWidth="1"/>
    <col min="5" max="5" width="114.57421875" style="15" customWidth="1"/>
    <col min="6" max="6" width="12.7109375" style="16" customWidth="1"/>
    <col min="7" max="7" width="12.7109375" style="17" customWidth="1"/>
    <col min="8" max="8" width="14.7109375" style="17" customWidth="1"/>
    <col min="9" max="9" width="17.00390625" style="17" bestFit="1" customWidth="1"/>
    <col min="10" max="10" width="16.140625" style="18" customWidth="1"/>
    <col min="11" max="11" width="20.57421875" style="18" customWidth="1"/>
    <col min="12" max="12" width="13.140625" style="0" bestFit="1" customWidth="1"/>
    <col min="13" max="13" width="49.140625" style="14" bestFit="1" customWidth="1"/>
    <col min="14" max="14" width="48.140625" style="14" customWidth="1"/>
    <col min="15" max="15" width="44.28125" style="10" bestFit="1" customWidth="1"/>
    <col min="16" max="16" width="58.57421875" style="10" customWidth="1"/>
    <col min="17" max="17" width="48.57421875" style="10" bestFit="1" customWidth="1"/>
    <col min="18" max="18" width="41.421875" style="10" bestFit="1" customWidth="1"/>
    <col min="19" max="19" width="28.140625" style="10" customWidth="1"/>
    <col min="20" max="16384" width="9.140625" style="10" customWidth="1"/>
  </cols>
  <sheetData>
    <row r="1" ht="84" customHeight="1" thickBot="1"/>
    <row r="2" spans="2:11" ht="25.5" customHeight="1">
      <c r="B2" s="209"/>
      <c r="C2" s="210"/>
      <c r="D2" s="33"/>
      <c r="E2" s="213" t="s">
        <v>60</v>
      </c>
      <c r="F2" s="215" t="s">
        <v>32</v>
      </c>
      <c r="G2" s="215"/>
      <c r="H2" s="215"/>
      <c r="I2" s="215"/>
      <c r="J2" s="215"/>
      <c r="K2" s="216"/>
    </row>
    <row r="3" spans="2:11" ht="56.25" customHeight="1" thickBot="1">
      <c r="B3" s="211"/>
      <c r="C3" s="212"/>
      <c r="D3" s="32"/>
      <c r="E3" s="214"/>
      <c r="F3" s="217"/>
      <c r="G3" s="217"/>
      <c r="H3" s="217"/>
      <c r="I3" s="217"/>
      <c r="J3" s="217"/>
      <c r="K3" s="218"/>
    </row>
    <row r="4" spans="2:15" s="1" customFormat="1" ht="21.75" customHeight="1">
      <c r="B4" s="219" t="s">
        <v>33</v>
      </c>
      <c r="C4" s="220"/>
      <c r="D4" s="220"/>
      <c r="E4" s="220"/>
      <c r="F4" s="220"/>
      <c r="G4" s="220"/>
      <c r="H4" s="220"/>
      <c r="I4" s="220"/>
      <c r="J4" s="220"/>
      <c r="K4" s="221"/>
      <c r="M4" s="22"/>
      <c r="N4" s="54"/>
      <c r="O4" s="19"/>
    </row>
    <row r="5" spans="2:15" s="1" customFormat="1" ht="18">
      <c r="B5" s="222" t="s">
        <v>254</v>
      </c>
      <c r="C5" s="223"/>
      <c r="D5" s="223"/>
      <c r="E5" s="223"/>
      <c r="F5" s="223"/>
      <c r="G5" s="223"/>
      <c r="H5" s="223"/>
      <c r="I5" s="223"/>
      <c r="J5" s="223"/>
      <c r="K5" s="224"/>
      <c r="M5" s="21"/>
      <c r="N5" s="21"/>
      <c r="O5" s="20"/>
    </row>
    <row r="6" spans="2:15" s="1" customFormat="1" ht="21.75" customHeight="1">
      <c r="B6" s="219" t="s">
        <v>34</v>
      </c>
      <c r="C6" s="220"/>
      <c r="D6" s="220"/>
      <c r="E6" s="220"/>
      <c r="F6" s="220" t="s">
        <v>5</v>
      </c>
      <c r="G6" s="220"/>
      <c r="H6" s="220"/>
      <c r="I6" s="220"/>
      <c r="J6" s="220"/>
      <c r="K6" s="221"/>
      <c r="M6" s="21"/>
      <c r="N6" s="21"/>
      <c r="O6" s="20"/>
    </row>
    <row r="7" spans="2:15" s="1" customFormat="1" ht="41.25" customHeight="1">
      <c r="B7" s="222" t="s">
        <v>267</v>
      </c>
      <c r="C7" s="223"/>
      <c r="D7" s="223"/>
      <c r="E7" s="223"/>
      <c r="F7" s="223" t="s">
        <v>243</v>
      </c>
      <c r="G7" s="223"/>
      <c r="H7" s="223"/>
      <c r="I7" s="223"/>
      <c r="J7" s="223"/>
      <c r="K7" s="224"/>
      <c r="M7" s="21"/>
      <c r="N7" s="21"/>
      <c r="O7" s="20"/>
    </row>
    <row r="8" spans="2:15" s="1" customFormat="1" ht="21.75" customHeight="1">
      <c r="B8" s="219" t="s">
        <v>35</v>
      </c>
      <c r="C8" s="220"/>
      <c r="D8" s="220"/>
      <c r="E8" s="220"/>
      <c r="F8" s="220" t="s">
        <v>184</v>
      </c>
      <c r="G8" s="220"/>
      <c r="H8" s="220"/>
      <c r="I8" s="220"/>
      <c r="J8" s="220"/>
      <c r="K8" s="221"/>
      <c r="M8" s="21"/>
      <c r="N8" s="21"/>
      <c r="O8" s="20"/>
    </row>
    <row r="9" spans="2:15" s="1" customFormat="1" ht="18.75" thickBot="1">
      <c r="B9" s="198" t="s">
        <v>121</v>
      </c>
      <c r="C9" s="199"/>
      <c r="D9" s="199"/>
      <c r="E9" s="199"/>
      <c r="F9" s="204"/>
      <c r="G9" s="205"/>
      <c r="H9" s="205"/>
      <c r="I9" s="205"/>
      <c r="J9" s="205"/>
      <c r="K9" s="206"/>
      <c r="M9" s="21"/>
      <c r="N9" s="21"/>
      <c r="O9" s="20"/>
    </row>
    <row r="10" spans="2:15" s="9" customFormat="1" ht="15" customHeight="1" thickBot="1">
      <c r="B10" s="235" t="s">
        <v>9</v>
      </c>
      <c r="C10" s="203" t="s">
        <v>5</v>
      </c>
      <c r="D10" s="203" t="s">
        <v>37</v>
      </c>
      <c r="E10" s="195" t="s">
        <v>31</v>
      </c>
      <c r="F10" s="203" t="s">
        <v>8</v>
      </c>
      <c r="G10" s="197" t="s">
        <v>0</v>
      </c>
      <c r="H10" s="196" t="s">
        <v>29</v>
      </c>
      <c r="I10" s="197"/>
      <c r="J10" s="200" t="s">
        <v>30</v>
      </c>
      <c r="K10" s="195"/>
      <c r="M10" s="20"/>
      <c r="N10" s="20"/>
      <c r="O10" s="20"/>
    </row>
    <row r="11" spans="2:15" s="9" customFormat="1" ht="15" customHeight="1">
      <c r="B11" s="235"/>
      <c r="C11" s="203"/>
      <c r="D11" s="203"/>
      <c r="E11" s="195"/>
      <c r="F11" s="203"/>
      <c r="G11" s="197"/>
      <c r="H11" s="229" t="s">
        <v>27</v>
      </c>
      <c r="I11" s="201" t="s">
        <v>10</v>
      </c>
      <c r="J11" s="231" t="s">
        <v>28</v>
      </c>
      <c r="K11" s="207" t="s">
        <v>10</v>
      </c>
      <c r="M11" s="20"/>
      <c r="N11" s="20"/>
      <c r="O11" s="20"/>
    </row>
    <row r="12" spans="2:21" s="9" customFormat="1" ht="34.5" customHeight="1" thickBot="1">
      <c r="B12" s="235"/>
      <c r="C12" s="203"/>
      <c r="D12" s="203"/>
      <c r="E12" s="195"/>
      <c r="F12" s="203"/>
      <c r="G12" s="197"/>
      <c r="H12" s="230"/>
      <c r="I12" s="202"/>
      <c r="J12" s="232"/>
      <c r="K12" s="208"/>
      <c r="M12" s="20"/>
      <c r="N12" s="20"/>
      <c r="O12" s="20"/>
      <c r="P12" s="82"/>
      <c r="Q12" s="82"/>
      <c r="R12" s="82"/>
      <c r="S12" s="82"/>
      <c r="T12" s="82"/>
      <c r="U12" s="82"/>
    </row>
    <row r="13" spans="2:21" s="9" customFormat="1" ht="15.75" thickBot="1">
      <c r="B13" s="131" t="s">
        <v>20</v>
      </c>
      <c r="C13" s="132"/>
      <c r="D13" s="132"/>
      <c r="E13" s="133" t="s">
        <v>7</v>
      </c>
      <c r="F13" s="134"/>
      <c r="G13" s="135"/>
      <c r="H13" s="136"/>
      <c r="I13" s="137">
        <f>SUM(I14:I23)</f>
        <v>45819.83117403316</v>
      </c>
      <c r="J13" s="136"/>
      <c r="K13" s="137">
        <f>SUM(K14:K23)</f>
        <v>60940.375461464115</v>
      </c>
      <c r="M13" s="20"/>
      <c r="N13" s="20"/>
      <c r="O13" s="20"/>
      <c r="P13" s="82"/>
      <c r="Q13" s="82"/>
      <c r="R13" s="82"/>
      <c r="S13" s="82"/>
      <c r="T13" s="82"/>
      <c r="U13" s="82"/>
    </row>
    <row r="14" spans="2:21" ht="24.75" customHeight="1">
      <c r="B14" s="123" t="s">
        <v>21</v>
      </c>
      <c r="C14" s="124" t="s">
        <v>39</v>
      </c>
      <c r="D14" s="124" t="s">
        <v>239</v>
      </c>
      <c r="E14" s="125" t="s">
        <v>240</v>
      </c>
      <c r="F14" s="126" t="s">
        <v>185</v>
      </c>
      <c r="G14" s="58">
        <f>SUM(3199393.72467772*0.01)</f>
        <v>31993.9372467772</v>
      </c>
      <c r="H14" s="127">
        <v>0.3</v>
      </c>
      <c r="I14" s="128">
        <f aca="true" t="shared" si="0" ref="I14:I23">H14*G14</f>
        <v>9598.18117403316</v>
      </c>
      <c r="J14" s="129">
        <f>H14*1.33</f>
        <v>0.399</v>
      </c>
      <c r="K14" s="130">
        <f aca="true" t="shared" si="1" ref="K14:K23">G14*J14</f>
        <v>12765.580961464104</v>
      </c>
      <c r="L14" s="10"/>
      <c r="M14" s="94"/>
      <c r="N14" s="94"/>
      <c r="O14" s="94"/>
      <c r="P14" s="14"/>
      <c r="Q14" s="14"/>
      <c r="R14" s="14"/>
      <c r="S14" s="14"/>
      <c r="T14" s="14"/>
      <c r="U14" s="14"/>
    </row>
    <row r="15" spans="2:21" ht="34.5" customHeight="1">
      <c r="B15" s="122" t="s">
        <v>22</v>
      </c>
      <c r="C15" s="35" t="s">
        <v>39</v>
      </c>
      <c r="D15" s="35" t="s">
        <v>43</v>
      </c>
      <c r="E15" s="120" t="s">
        <v>42</v>
      </c>
      <c r="F15" s="39" t="s">
        <v>101</v>
      </c>
      <c r="G15" s="119">
        <v>2</v>
      </c>
      <c r="H15" s="121">
        <v>643.93</v>
      </c>
      <c r="I15" s="53">
        <f t="shared" si="0"/>
        <v>1287.86</v>
      </c>
      <c r="J15" s="47">
        <f aca="true" t="shared" si="2" ref="J15:J68">H15*1.33</f>
        <v>856.4268999999999</v>
      </c>
      <c r="K15" s="38">
        <f t="shared" si="1"/>
        <v>1712.8537999999999</v>
      </c>
      <c r="L15" s="10"/>
      <c r="M15" s="94">
        <v>3199393.72467772</v>
      </c>
      <c r="N15" s="94"/>
      <c r="O15" s="94"/>
      <c r="P15" s="14"/>
      <c r="Q15" s="14"/>
      <c r="R15" s="14"/>
      <c r="S15" s="14"/>
      <c r="T15" s="14"/>
      <c r="U15" s="14"/>
    </row>
    <row r="16" spans="2:21" ht="40.5" customHeight="1">
      <c r="B16" s="122" t="s">
        <v>23</v>
      </c>
      <c r="C16" s="35" t="s">
        <v>39</v>
      </c>
      <c r="D16" s="35" t="s">
        <v>206</v>
      </c>
      <c r="E16" s="120" t="s">
        <v>186</v>
      </c>
      <c r="F16" s="39" t="s">
        <v>101</v>
      </c>
      <c r="G16" s="119">
        <v>1</v>
      </c>
      <c r="H16" s="121">
        <v>5509.98</v>
      </c>
      <c r="I16" s="53">
        <f t="shared" si="0"/>
        <v>5509.98</v>
      </c>
      <c r="J16" s="47">
        <f t="shared" si="2"/>
        <v>7328.2734</v>
      </c>
      <c r="K16" s="38">
        <f t="shared" si="1"/>
        <v>7328.2734</v>
      </c>
      <c r="L16" s="10"/>
      <c r="M16" s="94"/>
      <c r="N16" s="94"/>
      <c r="O16" s="94"/>
      <c r="P16" s="14"/>
      <c r="Q16" s="14"/>
      <c r="R16" s="14"/>
      <c r="S16" s="14"/>
      <c r="T16" s="14"/>
      <c r="U16" s="14"/>
    </row>
    <row r="17" spans="2:21" ht="35.25" customHeight="1">
      <c r="B17" s="122" t="s">
        <v>187</v>
      </c>
      <c r="C17" s="35" t="s">
        <v>39</v>
      </c>
      <c r="D17" s="35" t="s">
        <v>205</v>
      </c>
      <c r="E17" s="120" t="s">
        <v>188</v>
      </c>
      <c r="F17" s="39" t="s">
        <v>101</v>
      </c>
      <c r="G17" s="119">
        <v>1</v>
      </c>
      <c r="H17" s="121">
        <v>11004.83</v>
      </c>
      <c r="I17" s="53">
        <f t="shared" si="0"/>
        <v>11004.83</v>
      </c>
      <c r="J17" s="47">
        <f t="shared" si="2"/>
        <v>14636.423900000002</v>
      </c>
      <c r="K17" s="38">
        <f t="shared" si="1"/>
        <v>14636.423900000002</v>
      </c>
      <c r="L17" s="10"/>
      <c r="M17" s="94"/>
      <c r="N17" s="94"/>
      <c r="O17" s="94"/>
      <c r="P17" s="14"/>
      <c r="Q17" s="14"/>
      <c r="R17" s="14"/>
      <c r="S17" s="14"/>
      <c r="T17" s="14"/>
      <c r="U17" s="14"/>
    </row>
    <row r="18" spans="2:21" ht="35.25" customHeight="1">
      <c r="B18" s="122" t="s">
        <v>189</v>
      </c>
      <c r="C18" s="35" t="s">
        <v>39</v>
      </c>
      <c r="D18" s="35" t="s">
        <v>207</v>
      </c>
      <c r="E18" s="120" t="s">
        <v>190</v>
      </c>
      <c r="F18" s="39" t="s">
        <v>101</v>
      </c>
      <c r="G18" s="119">
        <v>1</v>
      </c>
      <c r="H18" s="121">
        <v>5353.2</v>
      </c>
      <c r="I18" s="53">
        <f t="shared" si="0"/>
        <v>5353.2</v>
      </c>
      <c r="J18" s="47">
        <f t="shared" si="2"/>
        <v>7119.756</v>
      </c>
      <c r="K18" s="38">
        <f t="shared" si="1"/>
        <v>7119.756</v>
      </c>
      <c r="L18" s="10"/>
      <c r="M18" s="94"/>
      <c r="N18" s="94"/>
      <c r="O18" s="94"/>
      <c r="P18" s="14"/>
      <c r="Q18" s="14"/>
      <c r="R18" s="14"/>
      <c r="S18" s="14"/>
      <c r="T18" s="14"/>
      <c r="U18" s="14"/>
    </row>
    <row r="19" spans="2:21" ht="36.75" customHeight="1">
      <c r="B19" s="122" t="s">
        <v>191</v>
      </c>
      <c r="C19" s="35" t="s">
        <v>39</v>
      </c>
      <c r="D19" s="35" t="s">
        <v>209</v>
      </c>
      <c r="E19" s="120" t="s">
        <v>208</v>
      </c>
      <c r="F19" s="39" t="s">
        <v>101</v>
      </c>
      <c r="G19" s="119">
        <v>1</v>
      </c>
      <c r="H19" s="121">
        <v>5809.05</v>
      </c>
      <c r="I19" s="53">
        <f t="shared" si="0"/>
        <v>5809.05</v>
      </c>
      <c r="J19" s="47">
        <f t="shared" si="2"/>
        <v>7726.036500000001</v>
      </c>
      <c r="K19" s="38">
        <f t="shared" si="1"/>
        <v>7726.036500000001</v>
      </c>
      <c r="L19" s="10"/>
      <c r="M19" s="94"/>
      <c r="N19" s="94"/>
      <c r="O19" s="94"/>
      <c r="P19" s="14"/>
      <c r="Q19" s="14"/>
      <c r="R19" s="14"/>
      <c r="S19" s="14"/>
      <c r="T19" s="14"/>
      <c r="U19" s="14"/>
    </row>
    <row r="20" spans="2:21" ht="44.25" customHeight="1">
      <c r="B20" s="122" t="s">
        <v>192</v>
      </c>
      <c r="C20" s="35" t="s">
        <v>39</v>
      </c>
      <c r="D20" s="35" t="s">
        <v>210</v>
      </c>
      <c r="E20" s="120" t="s">
        <v>193</v>
      </c>
      <c r="F20" s="39" t="s">
        <v>101</v>
      </c>
      <c r="G20" s="119">
        <v>1</v>
      </c>
      <c r="H20" s="121">
        <v>5146.91</v>
      </c>
      <c r="I20" s="53">
        <f t="shared" si="0"/>
        <v>5146.91</v>
      </c>
      <c r="J20" s="47">
        <f t="shared" si="2"/>
        <v>6845.3903</v>
      </c>
      <c r="K20" s="38">
        <f t="shared" si="1"/>
        <v>6845.3903</v>
      </c>
      <c r="L20" s="10"/>
      <c r="M20" s="94"/>
      <c r="N20" s="94"/>
      <c r="O20" s="94"/>
      <c r="P20" s="14"/>
      <c r="Q20" s="14"/>
      <c r="R20" s="14"/>
      <c r="S20" s="14"/>
      <c r="T20" s="14"/>
      <c r="U20" s="14"/>
    </row>
    <row r="21" spans="2:21" ht="24.75" customHeight="1">
      <c r="B21" s="122" t="s">
        <v>194</v>
      </c>
      <c r="C21" s="35" t="s">
        <v>103</v>
      </c>
      <c r="D21" s="35" t="s">
        <v>211</v>
      </c>
      <c r="E21" s="120" t="s">
        <v>195</v>
      </c>
      <c r="F21" s="39" t="s">
        <v>101</v>
      </c>
      <c r="G21" s="119">
        <v>1</v>
      </c>
      <c r="H21" s="121">
        <v>1624.93</v>
      </c>
      <c r="I21" s="53">
        <f t="shared" si="0"/>
        <v>1624.93</v>
      </c>
      <c r="J21" s="47">
        <f t="shared" si="2"/>
        <v>2161.1569000000004</v>
      </c>
      <c r="K21" s="38">
        <f t="shared" si="1"/>
        <v>2161.1569000000004</v>
      </c>
      <c r="L21" s="10"/>
      <c r="M21" s="94"/>
      <c r="N21" s="94"/>
      <c r="O21" s="94"/>
      <c r="P21" s="14"/>
      <c r="Q21" s="14"/>
      <c r="R21" s="14"/>
      <c r="S21" s="14"/>
      <c r="T21" s="14"/>
      <c r="U21" s="14"/>
    </row>
    <row r="22" spans="2:21" ht="24.75" customHeight="1">
      <c r="B22" s="122" t="s">
        <v>196</v>
      </c>
      <c r="C22" s="35" t="s">
        <v>103</v>
      </c>
      <c r="D22" s="35" t="s">
        <v>212</v>
      </c>
      <c r="E22" s="120" t="s">
        <v>197</v>
      </c>
      <c r="F22" s="39" t="s">
        <v>101</v>
      </c>
      <c r="G22" s="119">
        <v>1</v>
      </c>
      <c r="H22" s="121">
        <v>318.9</v>
      </c>
      <c r="I22" s="53">
        <f t="shared" si="0"/>
        <v>318.9</v>
      </c>
      <c r="J22" s="47">
        <f t="shared" si="2"/>
        <v>424.137</v>
      </c>
      <c r="K22" s="38">
        <f t="shared" si="1"/>
        <v>424.137</v>
      </c>
      <c r="L22" s="10"/>
      <c r="M22" s="94"/>
      <c r="N22" s="94"/>
      <c r="O22" s="94"/>
      <c r="P22" s="14"/>
      <c r="Q22" s="14"/>
      <c r="R22" s="14"/>
      <c r="S22" s="14"/>
      <c r="T22" s="14"/>
      <c r="U22" s="14"/>
    </row>
    <row r="23" spans="2:21" ht="24.75" customHeight="1" thickBot="1">
      <c r="B23" s="122" t="s">
        <v>198</v>
      </c>
      <c r="C23" s="154" t="s">
        <v>103</v>
      </c>
      <c r="D23" s="154" t="s">
        <v>213</v>
      </c>
      <c r="E23" s="180" t="s">
        <v>199</v>
      </c>
      <c r="F23" s="181" t="s">
        <v>101</v>
      </c>
      <c r="G23" s="119">
        <v>1</v>
      </c>
      <c r="H23" s="121">
        <v>165.99</v>
      </c>
      <c r="I23" s="157">
        <f t="shared" si="0"/>
        <v>165.99</v>
      </c>
      <c r="J23" s="156">
        <f t="shared" si="2"/>
        <v>220.76670000000001</v>
      </c>
      <c r="K23" s="158">
        <f t="shared" si="1"/>
        <v>220.76670000000001</v>
      </c>
      <c r="L23" s="10"/>
      <c r="M23" s="94"/>
      <c r="N23" s="94"/>
      <c r="O23" s="94"/>
      <c r="P23" s="14"/>
      <c r="Q23" s="14"/>
      <c r="R23" s="14"/>
      <c r="S23" s="14"/>
      <c r="T23" s="14"/>
      <c r="U23" s="14"/>
    </row>
    <row r="24" spans="2:21" ht="13.5" thickBot="1">
      <c r="B24" s="131" t="s">
        <v>24</v>
      </c>
      <c r="C24" s="163"/>
      <c r="D24" s="163"/>
      <c r="E24" s="133" t="s">
        <v>87</v>
      </c>
      <c r="F24" s="182"/>
      <c r="G24" s="135"/>
      <c r="H24" s="136"/>
      <c r="I24" s="174">
        <f>SUM(I25:I30)</f>
        <v>130171.72000000002</v>
      </c>
      <c r="J24" s="169">
        <f t="shared" si="2"/>
        <v>0</v>
      </c>
      <c r="K24" s="168">
        <f>SUM(K25:K30)</f>
        <v>173128.38760000002</v>
      </c>
      <c r="L24" s="10"/>
      <c r="U24" s="14"/>
    </row>
    <row r="25" spans="2:21" ht="24.75" customHeight="1">
      <c r="B25" s="177" t="s">
        <v>146</v>
      </c>
      <c r="C25" s="124" t="s">
        <v>39</v>
      </c>
      <c r="D25" s="124" t="s">
        <v>122</v>
      </c>
      <c r="E25" s="160" t="s">
        <v>88</v>
      </c>
      <c r="F25" s="178" t="s">
        <v>92</v>
      </c>
      <c r="G25" s="162">
        <v>4</v>
      </c>
      <c r="H25" s="129">
        <v>12737.25</v>
      </c>
      <c r="I25" s="128">
        <f aca="true" t="shared" si="3" ref="I25:I76">H25*G25</f>
        <v>50949</v>
      </c>
      <c r="J25" s="129">
        <f t="shared" si="2"/>
        <v>16940.5425</v>
      </c>
      <c r="K25" s="130">
        <f aca="true" t="shared" si="4" ref="K25:K76">G25*J25</f>
        <v>67762.17</v>
      </c>
      <c r="L25" s="10"/>
      <c r="U25" s="14"/>
    </row>
    <row r="26" spans="2:21" ht="24.75" customHeight="1">
      <c r="B26" s="34" t="s">
        <v>147</v>
      </c>
      <c r="C26" s="35" t="s">
        <v>39</v>
      </c>
      <c r="D26" s="35" t="s">
        <v>214</v>
      </c>
      <c r="E26" s="36" t="s">
        <v>202</v>
      </c>
      <c r="F26" s="37" t="s">
        <v>92</v>
      </c>
      <c r="G26" s="49">
        <v>4</v>
      </c>
      <c r="H26" s="47">
        <v>8019.75</v>
      </c>
      <c r="I26" s="53">
        <f t="shared" si="3"/>
        <v>32079</v>
      </c>
      <c r="J26" s="47">
        <f t="shared" si="2"/>
        <v>10666.2675</v>
      </c>
      <c r="K26" s="38">
        <f t="shared" si="4"/>
        <v>42665.07</v>
      </c>
      <c r="L26" s="10"/>
      <c r="U26" s="14"/>
    </row>
    <row r="27" spans="2:21" ht="24.75" customHeight="1">
      <c r="B27" s="34" t="s">
        <v>62</v>
      </c>
      <c r="C27" s="35" t="s">
        <v>39</v>
      </c>
      <c r="D27" s="35" t="s">
        <v>123</v>
      </c>
      <c r="E27" s="36" t="s">
        <v>89</v>
      </c>
      <c r="F27" s="37" t="s">
        <v>92</v>
      </c>
      <c r="G27" s="49">
        <v>4</v>
      </c>
      <c r="H27" s="47">
        <v>4245.75</v>
      </c>
      <c r="I27" s="53">
        <f t="shared" si="3"/>
        <v>16983</v>
      </c>
      <c r="J27" s="47">
        <f t="shared" si="2"/>
        <v>5646.8475</v>
      </c>
      <c r="K27" s="38">
        <f t="shared" si="4"/>
        <v>22587.39</v>
      </c>
      <c r="L27" s="10"/>
      <c r="U27" s="14"/>
    </row>
    <row r="28" spans="2:21" ht="24.75" customHeight="1">
      <c r="B28" s="34" t="s">
        <v>63</v>
      </c>
      <c r="C28" s="35" t="s">
        <v>39</v>
      </c>
      <c r="D28" s="35" t="s">
        <v>124</v>
      </c>
      <c r="E28" s="36" t="s">
        <v>90</v>
      </c>
      <c r="F28" s="37" t="s">
        <v>92</v>
      </c>
      <c r="G28" s="49">
        <v>4</v>
      </c>
      <c r="H28" s="47">
        <v>4165.65</v>
      </c>
      <c r="I28" s="53">
        <f t="shared" si="3"/>
        <v>16662.6</v>
      </c>
      <c r="J28" s="47">
        <f t="shared" si="2"/>
        <v>5540.3144999999995</v>
      </c>
      <c r="K28" s="38">
        <f t="shared" si="4"/>
        <v>22161.257999999998</v>
      </c>
      <c r="L28" s="10"/>
      <c r="U28" s="14"/>
    </row>
    <row r="29" spans="2:21" ht="24.75" customHeight="1">
      <c r="B29" s="34" t="s">
        <v>216</v>
      </c>
      <c r="C29" s="35" t="s">
        <v>39</v>
      </c>
      <c r="D29" s="35" t="s">
        <v>215</v>
      </c>
      <c r="E29" s="92" t="s">
        <v>203</v>
      </c>
      <c r="F29" s="37" t="s">
        <v>92</v>
      </c>
      <c r="G29" s="49">
        <v>4</v>
      </c>
      <c r="H29" s="47">
        <v>1917.56</v>
      </c>
      <c r="I29" s="53">
        <f t="shared" si="3"/>
        <v>7670.24</v>
      </c>
      <c r="J29" s="47">
        <f t="shared" si="2"/>
        <v>2550.3548</v>
      </c>
      <c r="K29" s="38">
        <f t="shared" si="4"/>
        <v>10201.4192</v>
      </c>
      <c r="L29" s="10"/>
      <c r="U29" s="14"/>
    </row>
    <row r="30" spans="2:21" ht="24.75" customHeight="1" thickBot="1">
      <c r="B30" s="170" t="s">
        <v>217</v>
      </c>
      <c r="C30" s="154" t="s">
        <v>39</v>
      </c>
      <c r="D30" s="154" t="s">
        <v>125</v>
      </c>
      <c r="E30" s="175" t="s">
        <v>91</v>
      </c>
      <c r="F30" s="176" t="s">
        <v>92</v>
      </c>
      <c r="G30" s="119">
        <v>4</v>
      </c>
      <c r="H30" s="156">
        <v>1456.97</v>
      </c>
      <c r="I30" s="157">
        <f t="shared" si="3"/>
        <v>5827.88</v>
      </c>
      <c r="J30" s="156">
        <f t="shared" si="2"/>
        <v>1937.7701000000002</v>
      </c>
      <c r="K30" s="158">
        <f t="shared" si="4"/>
        <v>7751.080400000001</v>
      </c>
      <c r="L30" s="10"/>
      <c r="U30" s="14"/>
    </row>
    <row r="31" spans="2:21" ht="23.25" customHeight="1" thickBot="1">
      <c r="B31" s="131" t="s">
        <v>47</v>
      </c>
      <c r="C31" s="132"/>
      <c r="D31" s="132"/>
      <c r="E31" s="164" t="s">
        <v>69</v>
      </c>
      <c r="F31" s="173"/>
      <c r="G31" s="166"/>
      <c r="H31" s="167"/>
      <c r="I31" s="174">
        <f>SUM(I32:I34)</f>
        <v>259530</v>
      </c>
      <c r="J31" s="169">
        <f t="shared" si="2"/>
        <v>0</v>
      </c>
      <c r="K31" s="168">
        <f>SUM(K32:K34)</f>
        <v>345174.9</v>
      </c>
      <c r="L31" s="10"/>
      <c r="U31" s="14"/>
    </row>
    <row r="32" spans="2:21" ht="24.75" customHeight="1">
      <c r="B32" s="177" t="s">
        <v>48</v>
      </c>
      <c r="C32" s="124" t="s">
        <v>39</v>
      </c>
      <c r="D32" s="124" t="s">
        <v>71</v>
      </c>
      <c r="E32" s="160" t="s">
        <v>70</v>
      </c>
      <c r="F32" s="178" t="s">
        <v>85</v>
      </c>
      <c r="G32" s="172">
        <f>SUM(M101*N101)+M98</f>
        <v>41600</v>
      </c>
      <c r="H32" s="179">
        <v>0.24</v>
      </c>
      <c r="I32" s="128">
        <f t="shared" si="3"/>
        <v>9984</v>
      </c>
      <c r="J32" s="129">
        <f t="shared" si="2"/>
        <v>0.3192</v>
      </c>
      <c r="K32" s="130">
        <f t="shared" si="4"/>
        <v>13278.72</v>
      </c>
      <c r="L32" s="10"/>
      <c r="U32" s="14"/>
    </row>
    <row r="33" spans="2:21" ht="24.75" customHeight="1">
      <c r="B33" s="34" t="s">
        <v>49</v>
      </c>
      <c r="C33" s="35" t="s">
        <v>39</v>
      </c>
      <c r="D33" s="35" t="s">
        <v>180</v>
      </c>
      <c r="E33" s="36" t="s">
        <v>178</v>
      </c>
      <c r="F33" s="37" t="s">
        <v>86</v>
      </c>
      <c r="G33" s="46">
        <v>41800</v>
      </c>
      <c r="H33" s="45">
        <v>3.28</v>
      </c>
      <c r="I33" s="53">
        <f t="shared" si="3"/>
        <v>137104</v>
      </c>
      <c r="J33" s="47">
        <f t="shared" si="2"/>
        <v>4.3624</v>
      </c>
      <c r="K33" s="38">
        <f t="shared" si="4"/>
        <v>182348.32</v>
      </c>
      <c r="L33" s="10"/>
      <c r="U33" s="14"/>
    </row>
    <row r="34" spans="2:21" ht="24.75" customHeight="1" thickBot="1">
      <c r="B34" s="170" t="s">
        <v>182</v>
      </c>
      <c r="C34" s="154" t="s">
        <v>39</v>
      </c>
      <c r="D34" s="105" t="s">
        <v>181</v>
      </c>
      <c r="E34" s="106" t="s">
        <v>264</v>
      </c>
      <c r="F34" s="107" t="s">
        <v>179</v>
      </c>
      <c r="G34" s="108">
        <f>G33</f>
        <v>41800</v>
      </c>
      <c r="H34" s="109">
        <v>2.69</v>
      </c>
      <c r="I34" s="157">
        <f t="shared" si="3"/>
        <v>112442</v>
      </c>
      <c r="J34" s="156">
        <f t="shared" si="2"/>
        <v>3.5777</v>
      </c>
      <c r="K34" s="158">
        <f t="shared" si="4"/>
        <v>149547.86000000002</v>
      </c>
      <c r="L34" s="10"/>
      <c r="U34" s="14"/>
    </row>
    <row r="35" spans="2:23" s="9" customFormat="1" ht="25.5" customHeight="1" thickBot="1">
      <c r="B35" s="131" t="s">
        <v>50</v>
      </c>
      <c r="C35" s="163"/>
      <c r="D35" s="132"/>
      <c r="E35" s="164" t="s">
        <v>145</v>
      </c>
      <c r="F35" s="173"/>
      <c r="G35" s="166"/>
      <c r="H35" s="167"/>
      <c r="I35" s="174">
        <f>SUM(I36:I49)</f>
        <v>1501563.1923200001</v>
      </c>
      <c r="J35" s="169">
        <f t="shared" si="2"/>
        <v>0</v>
      </c>
      <c r="K35" s="168">
        <f>SUM(K36:K49)</f>
        <v>1997079.0457856003</v>
      </c>
      <c r="U35" s="20"/>
      <c r="V35" s="20"/>
      <c r="W35" s="20"/>
    </row>
    <row r="36" spans="2:23" s="9" customFormat="1" ht="30" customHeight="1">
      <c r="B36" s="159" t="s">
        <v>51</v>
      </c>
      <c r="C36" s="124" t="s">
        <v>39</v>
      </c>
      <c r="D36" s="124" t="s">
        <v>259</v>
      </c>
      <c r="E36" s="160" t="s">
        <v>258</v>
      </c>
      <c r="F36" s="194" t="s">
        <v>86</v>
      </c>
      <c r="G36" s="49">
        <f>SUM((M101*M106)+M98)*0.36</f>
        <v>9907.199999999999</v>
      </c>
      <c r="H36" s="129">
        <v>2.68</v>
      </c>
      <c r="I36" s="128">
        <f>H36*G36</f>
        <v>26551.296</v>
      </c>
      <c r="J36" s="129">
        <f t="shared" si="2"/>
        <v>3.5644000000000005</v>
      </c>
      <c r="K36" s="130">
        <f>G36*J36</f>
        <v>35313.22368</v>
      </c>
      <c r="U36" s="20"/>
      <c r="V36" s="20"/>
      <c r="W36" s="20"/>
    </row>
    <row r="37" spans="2:23" s="9" customFormat="1" ht="30" customHeight="1">
      <c r="B37" s="159" t="s">
        <v>64</v>
      </c>
      <c r="C37" s="124" t="s">
        <v>103</v>
      </c>
      <c r="D37" s="124" t="s">
        <v>260</v>
      </c>
      <c r="E37" s="193" t="s">
        <v>257</v>
      </c>
      <c r="F37" s="194" t="s">
        <v>111</v>
      </c>
      <c r="G37" s="172">
        <f>G36*3.81</f>
        <v>37746.43199999999</v>
      </c>
      <c r="H37" s="129">
        <v>1.28</v>
      </c>
      <c r="I37" s="128">
        <f>H37*G37</f>
        <v>48315.43295999999</v>
      </c>
      <c r="J37" s="129">
        <f t="shared" si="2"/>
        <v>1.7024000000000001</v>
      </c>
      <c r="K37" s="130">
        <f>G37*J37</f>
        <v>64259.52583679999</v>
      </c>
      <c r="U37" s="20"/>
      <c r="V37" s="20"/>
      <c r="W37" s="20"/>
    </row>
    <row r="38" spans="2:23" s="9" customFormat="1" ht="30" customHeight="1">
      <c r="B38" s="159" t="s">
        <v>52</v>
      </c>
      <c r="C38" s="124" t="s">
        <v>103</v>
      </c>
      <c r="D38" s="124" t="s">
        <v>260</v>
      </c>
      <c r="E38" s="193" t="s">
        <v>256</v>
      </c>
      <c r="F38" s="194" t="s">
        <v>111</v>
      </c>
      <c r="G38" s="172">
        <f>G36*3.81</f>
        <v>37746.43199999999</v>
      </c>
      <c r="H38" s="129">
        <v>1.28</v>
      </c>
      <c r="I38" s="128">
        <f>H38*G38</f>
        <v>48315.43295999999</v>
      </c>
      <c r="J38" s="129">
        <f t="shared" si="2"/>
        <v>1.7024000000000001</v>
      </c>
      <c r="K38" s="130">
        <f>G38*J38</f>
        <v>64259.52583679999</v>
      </c>
      <c r="U38" s="20"/>
      <c r="V38" s="20"/>
      <c r="W38" s="20"/>
    </row>
    <row r="39" spans="2:23" s="9" customFormat="1" ht="30" customHeight="1">
      <c r="B39" s="159" t="s">
        <v>112</v>
      </c>
      <c r="C39" s="124" t="s">
        <v>39</v>
      </c>
      <c r="D39" s="124" t="s">
        <v>46</v>
      </c>
      <c r="E39" s="160" t="s">
        <v>84</v>
      </c>
      <c r="F39" s="171" t="s">
        <v>85</v>
      </c>
      <c r="G39" s="172">
        <f>SUM(M98+(M101*M106))</f>
        <v>27520</v>
      </c>
      <c r="H39" s="129">
        <v>1.21</v>
      </c>
      <c r="I39" s="128">
        <f>H39*G39</f>
        <v>33299.2</v>
      </c>
      <c r="J39" s="129">
        <f>H39*1.33</f>
        <v>1.6093</v>
      </c>
      <c r="K39" s="130">
        <f>G39*J39</f>
        <v>44287.936</v>
      </c>
      <c r="U39" s="20"/>
      <c r="V39" s="20"/>
      <c r="W39" s="20"/>
    </row>
    <row r="40" spans="2:23" s="9" customFormat="1" ht="42" customHeight="1">
      <c r="B40" s="159" t="s">
        <v>113</v>
      </c>
      <c r="C40" s="35" t="s">
        <v>103</v>
      </c>
      <c r="D40" s="35" t="s">
        <v>204</v>
      </c>
      <c r="E40" s="36" t="s">
        <v>265</v>
      </c>
      <c r="F40" s="103" t="s">
        <v>86</v>
      </c>
      <c r="G40" s="49">
        <f>SUM((M101*M106)+M98)*0.15</f>
        <v>4128</v>
      </c>
      <c r="H40" s="47">
        <v>51.92</v>
      </c>
      <c r="I40" s="53">
        <f t="shared" si="3"/>
        <v>214325.76</v>
      </c>
      <c r="J40" s="47">
        <f t="shared" si="2"/>
        <v>69.0536</v>
      </c>
      <c r="K40" s="38">
        <f t="shared" si="4"/>
        <v>285053.2608</v>
      </c>
      <c r="U40" s="20"/>
      <c r="V40" s="20"/>
      <c r="W40" s="20"/>
    </row>
    <row r="41" spans="2:23" s="9" customFormat="1" ht="30" customHeight="1">
      <c r="B41" s="159" t="s">
        <v>114</v>
      </c>
      <c r="C41" s="35" t="s">
        <v>103</v>
      </c>
      <c r="D41" s="55" t="s">
        <v>204</v>
      </c>
      <c r="E41" s="56" t="s">
        <v>245</v>
      </c>
      <c r="F41" s="103" t="s">
        <v>41</v>
      </c>
      <c r="G41" s="58">
        <f>G40*2.2*25.5</f>
        <v>231580.80000000002</v>
      </c>
      <c r="H41" s="57">
        <v>0.53</v>
      </c>
      <c r="I41" s="53">
        <f t="shared" si="3"/>
        <v>122737.82400000002</v>
      </c>
      <c r="J41" s="47">
        <f t="shared" si="2"/>
        <v>0.7049000000000001</v>
      </c>
      <c r="K41" s="38">
        <f t="shared" si="4"/>
        <v>163241.30592000004</v>
      </c>
      <c r="U41" s="20"/>
      <c r="V41" s="20"/>
      <c r="W41" s="20"/>
    </row>
    <row r="42" spans="2:23" ht="38.25" customHeight="1">
      <c r="B42" s="159" t="s">
        <v>115</v>
      </c>
      <c r="C42" s="35" t="s">
        <v>39</v>
      </c>
      <c r="D42" s="35" t="s">
        <v>200</v>
      </c>
      <c r="E42" s="36" t="s">
        <v>266</v>
      </c>
      <c r="F42" s="103" t="s">
        <v>86</v>
      </c>
      <c r="G42" s="49">
        <f>SUM((M101*M106)+M98)*0.15</f>
        <v>4128</v>
      </c>
      <c r="H42" s="47">
        <v>51.92</v>
      </c>
      <c r="I42" s="53">
        <f t="shared" si="3"/>
        <v>214325.76</v>
      </c>
      <c r="J42" s="47">
        <f t="shared" si="2"/>
        <v>69.0536</v>
      </c>
      <c r="K42" s="38">
        <f t="shared" si="4"/>
        <v>285053.2608</v>
      </c>
      <c r="L42" s="10"/>
      <c r="U42" s="20"/>
      <c r="V42" s="20"/>
      <c r="W42" s="20"/>
    </row>
    <row r="43" spans="2:23" ht="30" customHeight="1">
      <c r="B43" s="159" t="s">
        <v>148</v>
      </c>
      <c r="C43" s="35" t="s">
        <v>39</v>
      </c>
      <c r="D43" s="55" t="s">
        <v>251</v>
      </c>
      <c r="E43" s="36" t="s">
        <v>246</v>
      </c>
      <c r="F43" s="103" t="s">
        <v>41</v>
      </c>
      <c r="G43" s="49">
        <f>SUM(G42*2.2*25.5)</f>
        <v>231580.80000000002</v>
      </c>
      <c r="H43" s="47">
        <v>0.37</v>
      </c>
      <c r="I43" s="53">
        <f t="shared" si="3"/>
        <v>85684.89600000001</v>
      </c>
      <c r="J43" s="47">
        <f t="shared" si="2"/>
        <v>0.49210000000000004</v>
      </c>
      <c r="K43" s="38">
        <f t="shared" si="4"/>
        <v>113960.91168000002</v>
      </c>
      <c r="L43" s="10"/>
      <c r="U43" s="20"/>
      <c r="V43" s="20"/>
      <c r="W43" s="20"/>
    </row>
    <row r="44" spans="2:23" ht="40.5" customHeight="1">
      <c r="B44" s="159" t="s">
        <v>149</v>
      </c>
      <c r="C44" s="35" t="s">
        <v>39</v>
      </c>
      <c r="D44" s="35" t="s">
        <v>126</v>
      </c>
      <c r="E44" s="36" t="s">
        <v>143</v>
      </c>
      <c r="F44" s="103" t="s">
        <v>85</v>
      </c>
      <c r="G44" s="49">
        <f>SUM(M101*M106)+M98</f>
        <v>27520</v>
      </c>
      <c r="H44" s="47">
        <v>2.55</v>
      </c>
      <c r="I44" s="53">
        <f t="shared" si="3"/>
        <v>70176</v>
      </c>
      <c r="J44" s="47">
        <f t="shared" si="2"/>
        <v>3.3914999999999997</v>
      </c>
      <c r="K44" s="38">
        <f t="shared" si="4"/>
        <v>93334.07999999999</v>
      </c>
      <c r="L44" s="10"/>
      <c r="U44" s="20"/>
      <c r="V44" s="20"/>
      <c r="W44" s="20"/>
    </row>
    <row r="45" spans="2:23" ht="30" customHeight="1">
      <c r="B45" s="159" t="s">
        <v>150</v>
      </c>
      <c r="C45" s="35" t="s">
        <v>39</v>
      </c>
      <c r="D45" s="35" t="s">
        <v>249</v>
      </c>
      <c r="E45" s="36" t="s">
        <v>250</v>
      </c>
      <c r="F45" s="103" t="s">
        <v>111</v>
      </c>
      <c r="G45" s="49">
        <f>SUM(G44*0.0015)*(25.5*2)</f>
        <v>2105.28</v>
      </c>
      <c r="H45" s="47">
        <v>0.54</v>
      </c>
      <c r="I45" s="53">
        <f t="shared" si="3"/>
        <v>1136.8512000000003</v>
      </c>
      <c r="J45" s="47">
        <f t="shared" si="2"/>
        <v>0.7182000000000001</v>
      </c>
      <c r="K45" s="38">
        <f t="shared" si="4"/>
        <v>1512.0120960000004</v>
      </c>
      <c r="L45" s="10"/>
      <c r="U45" s="20"/>
      <c r="V45" s="20"/>
      <c r="W45" s="20"/>
    </row>
    <row r="46" spans="2:23" ht="37.5" customHeight="1">
      <c r="B46" s="159" t="s">
        <v>151</v>
      </c>
      <c r="C46" s="35" t="s">
        <v>39</v>
      </c>
      <c r="D46" s="35" t="s">
        <v>127</v>
      </c>
      <c r="E46" s="92" t="s">
        <v>83</v>
      </c>
      <c r="F46" s="103" t="s">
        <v>85</v>
      </c>
      <c r="G46" s="49">
        <f>G44</f>
        <v>27520</v>
      </c>
      <c r="H46" s="47">
        <v>0.7</v>
      </c>
      <c r="I46" s="53">
        <f t="shared" si="3"/>
        <v>19264</v>
      </c>
      <c r="J46" s="47">
        <f t="shared" si="2"/>
        <v>0.9309999999999999</v>
      </c>
      <c r="K46" s="38">
        <f t="shared" si="4"/>
        <v>25621.12</v>
      </c>
      <c r="L46" s="10"/>
      <c r="U46" s="20"/>
      <c r="V46" s="20"/>
      <c r="W46" s="20"/>
    </row>
    <row r="47" spans="2:23" ht="30" customHeight="1">
      <c r="B47" s="159" t="s">
        <v>261</v>
      </c>
      <c r="C47" s="35" t="s">
        <v>39</v>
      </c>
      <c r="D47" s="35" t="s">
        <v>249</v>
      </c>
      <c r="E47" s="36" t="s">
        <v>250</v>
      </c>
      <c r="F47" s="103" t="s">
        <v>111</v>
      </c>
      <c r="G47" s="49">
        <f>SUM(G46*0.0015)*25.5*2</f>
        <v>2105.28</v>
      </c>
      <c r="H47" s="47">
        <v>0.54</v>
      </c>
      <c r="I47" s="53">
        <f>H47*G47</f>
        <v>1136.8512000000003</v>
      </c>
      <c r="J47" s="47">
        <f t="shared" si="2"/>
        <v>0.7182000000000001</v>
      </c>
      <c r="K47" s="38">
        <f>G47*J47</f>
        <v>1512.0120960000004</v>
      </c>
      <c r="L47" s="10"/>
      <c r="U47" s="20"/>
      <c r="V47" s="20"/>
      <c r="W47" s="20"/>
    </row>
    <row r="48" spans="2:23" ht="38.25">
      <c r="B48" s="159" t="s">
        <v>262</v>
      </c>
      <c r="C48" s="35" t="s">
        <v>39</v>
      </c>
      <c r="D48" s="35" t="s">
        <v>128</v>
      </c>
      <c r="E48" s="36" t="s">
        <v>201</v>
      </c>
      <c r="F48" s="37" t="s">
        <v>86</v>
      </c>
      <c r="G48" s="49">
        <f>G39*0.06</f>
        <v>1651.2</v>
      </c>
      <c r="H48" s="47">
        <v>347.23</v>
      </c>
      <c r="I48" s="53">
        <f t="shared" si="3"/>
        <v>573346.1760000001</v>
      </c>
      <c r="J48" s="47">
        <f t="shared" si="2"/>
        <v>461.81590000000006</v>
      </c>
      <c r="K48" s="38">
        <f t="shared" si="4"/>
        <v>762550.4140800001</v>
      </c>
      <c r="L48" s="10"/>
      <c r="U48" s="20"/>
      <c r="V48" s="20"/>
      <c r="W48" s="20"/>
    </row>
    <row r="49" spans="2:23" ht="30" customHeight="1" thickBot="1">
      <c r="B49" s="159" t="s">
        <v>263</v>
      </c>
      <c r="C49" s="154" t="s">
        <v>39</v>
      </c>
      <c r="D49" s="154" t="s">
        <v>248</v>
      </c>
      <c r="E49" s="106" t="s">
        <v>247</v>
      </c>
      <c r="F49" s="155" t="s">
        <v>111</v>
      </c>
      <c r="G49" s="119">
        <f>G48*25.5*2</f>
        <v>84211.2</v>
      </c>
      <c r="H49" s="156">
        <v>0.51</v>
      </c>
      <c r="I49" s="157">
        <f t="shared" si="3"/>
        <v>42947.712</v>
      </c>
      <c r="J49" s="156">
        <f t="shared" si="2"/>
        <v>0.6783</v>
      </c>
      <c r="K49" s="158">
        <f t="shared" si="4"/>
        <v>57120.456959999996</v>
      </c>
      <c r="L49" s="10"/>
      <c r="U49" s="20"/>
      <c r="V49" s="20"/>
      <c r="W49" s="20"/>
    </row>
    <row r="50" spans="2:23" ht="15.75" thickBot="1">
      <c r="B50" s="131" t="s">
        <v>53</v>
      </c>
      <c r="C50" s="163"/>
      <c r="D50" s="163"/>
      <c r="E50" s="164" t="s">
        <v>100</v>
      </c>
      <c r="F50" s="165"/>
      <c r="G50" s="166"/>
      <c r="H50" s="167"/>
      <c r="I50" s="168">
        <f>SUM(I51:I68)</f>
        <v>794024.6677000001</v>
      </c>
      <c r="J50" s="169">
        <f t="shared" si="2"/>
        <v>0</v>
      </c>
      <c r="K50" s="168">
        <f>SUM(K51:K68)</f>
        <v>1056052.808041</v>
      </c>
      <c r="L50" s="10"/>
      <c r="U50" s="20"/>
      <c r="V50" s="20"/>
      <c r="W50" s="20"/>
    </row>
    <row r="51" spans="2:23" ht="24.75" customHeight="1">
      <c r="B51" s="159" t="s">
        <v>65</v>
      </c>
      <c r="C51" s="124" t="s">
        <v>39</v>
      </c>
      <c r="D51" s="124" t="s">
        <v>224</v>
      </c>
      <c r="E51" s="160" t="s">
        <v>218</v>
      </c>
      <c r="F51" s="161" t="s">
        <v>86</v>
      </c>
      <c r="G51" s="162">
        <v>1641</v>
      </c>
      <c r="H51" s="129">
        <v>3.49</v>
      </c>
      <c r="I51" s="128">
        <f t="shared" si="3"/>
        <v>5727.09</v>
      </c>
      <c r="J51" s="129">
        <f t="shared" si="2"/>
        <v>4.6417</v>
      </c>
      <c r="K51" s="130">
        <f t="shared" si="4"/>
        <v>7617.0297</v>
      </c>
      <c r="L51" s="10"/>
      <c r="U51" s="94"/>
      <c r="V51" s="94"/>
      <c r="W51" s="94"/>
    </row>
    <row r="52" spans="2:23" ht="32.25" customHeight="1">
      <c r="B52" s="93" t="s">
        <v>54</v>
      </c>
      <c r="C52" s="35" t="s">
        <v>39</v>
      </c>
      <c r="D52" s="35" t="s">
        <v>227</v>
      </c>
      <c r="E52" s="36" t="s">
        <v>228</v>
      </c>
      <c r="F52" s="88" t="s">
        <v>111</v>
      </c>
      <c r="G52" s="49">
        <f>G51*3.81</f>
        <v>6252.21</v>
      </c>
      <c r="H52" s="47">
        <v>1.07</v>
      </c>
      <c r="I52" s="53">
        <f t="shared" si="3"/>
        <v>6689.8647</v>
      </c>
      <c r="J52" s="47">
        <f t="shared" si="2"/>
        <v>1.4231000000000003</v>
      </c>
      <c r="K52" s="38">
        <f t="shared" si="4"/>
        <v>8897.520051000001</v>
      </c>
      <c r="L52" s="10"/>
      <c r="U52" s="94"/>
      <c r="V52" s="94"/>
      <c r="W52" s="94"/>
    </row>
    <row r="53" spans="2:23" ht="32.25" customHeight="1">
      <c r="B53" s="93" t="s">
        <v>66</v>
      </c>
      <c r="C53" s="35" t="s">
        <v>103</v>
      </c>
      <c r="D53" s="35" t="s">
        <v>242</v>
      </c>
      <c r="E53" s="36" t="s">
        <v>241</v>
      </c>
      <c r="F53" s="88" t="s">
        <v>85</v>
      </c>
      <c r="G53" s="49">
        <f>547*1.5</f>
        <v>820.5</v>
      </c>
      <c r="H53" s="47">
        <v>6.64</v>
      </c>
      <c r="I53" s="53">
        <f t="shared" si="3"/>
        <v>5448.12</v>
      </c>
      <c r="J53" s="47">
        <f t="shared" si="2"/>
        <v>8.8312</v>
      </c>
      <c r="K53" s="38">
        <f t="shared" si="4"/>
        <v>7245.999600000001</v>
      </c>
      <c r="L53" s="10"/>
      <c r="U53" s="94"/>
      <c r="V53" s="94"/>
      <c r="W53" s="94"/>
    </row>
    <row r="54" spans="2:23" ht="24.75" customHeight="1">
      <c r="B54" s="93" t="s">
        <v>55</v>
      </c>
      <c r="C54" s="35" t="s">
        <v>39</v>
      </c>
      <c r="D54" s="35" t="s">
        <v>225</v>
      </c>
      <c r="E54" s="36" t="s">
        <v>219</v>
      </c>
      <c r="F54" s="88" t="s">
        <v>86</v>
      </c>
      <c r="G54" s="49">
        <f>547*1.5*2*0.6</f>
        <v>984.5999999999999</v>
      </c>
      <c r="H54" s="47">
        <v>15.32</v>
      </c>
      <c r="I54" s="53">
        <f t="shared" si="3"/>
        <v>15084.071999999998</v>
      </c>
      <c r="J54" s="47">
        <f t="shared" si="2"/>
        <v>20.375600000000002</v>
      </c>
      <c r="K54" s="38">
        <f t="shared" si="4"/>
        <v>20061.81576</v>
      </c>
      <c r="L54" s="10"/>
      <c r="U54" s="94"/>
      <c r="V54" s="94"/>
      <c r="W54" s="94"/>
    </row>
    <row r="55" spans="2:23" ht="24.75" customHeight="1">
      <c r="B55" s="93" t="s">
        <v>116</v>
      </c>
      <c r="C55" s="35" t="s">
        <v>103</v>
      </c>
      <c r="D55" s="35" t="s">
        <v>226</v>
      </c>
      <c r="E55" s="36" t="s">
        <v>220</v>
      </c>
      <c r="F55" s="88" t="s">
        <v>86</v>
      </c>
      <c r="G55" s="49">
        <f>G56*1.5*0.2</f>
        <v>164.10000000000002</v>
      </c>
      <c r="H55" s="47">
        <v>110.41</v>
      </c>
      <c r="I55" s="53">
        <f t="shared" si="3"/>
        <v>18118.281000000003</v>
      </c>
      <c r="J55" s="47">
        <f t="shared" si="2"/>
        <v>146.8453</v>
      </c>
      <c r="K55" s="38">
        <f t="shared" si="4"/>
        <v>24097.313730000005</v>
      </c>
      <c r="L55" s="10"/>
      <c r="U55" s="94"/>
      <c r="V55" s="94"/>
      <c r="W55" s="94"/>
    </row>
    <row r="56" spans="2:23" ht="24.75" customHeight="1">
      <c r="B56" s="93" t="s">
        <v>117</v>
      </c>
      <c r="C56" s="35" t="s">
        <v>103</v>
      </c>
      <c r="D56" s="35" t="s">
        <v>229</v>
      </c>
      <c r="E56" s="36" t="s">
        <v>221</v>
      </c>
      <c r="F56" s="88" t="s">
        <v>119</v>
      </c>
      <c r="G56" s="49">
        <v>547</v>
      </c>
      <c r="H56" s="47">
        <v>238.15</v>
      </c>
      <c r="I56" s="53">
        <f t="shared" si="3"/>
        <v>130268.05</v>
      </c>
      <c r="J56" s="47">
        <f t="shared" si="2"/>
        <v>316.7395</v>
      </c>
      <c r="K56" s="38">
        <f t="shared" si="4"/>
        <v>173256.50650000002</v>
      </c>
      <c r="L56" s="10"/>
      <c r="U56" s="94"/>
      <c r="V56" s="94"/>
      <c r="W56" s="94"/>
    </row>
    <row r="57" spans="2:23" ht="24.75" customHeight="1">
      <c r="B57" s="93" t="s">
        <v>118</v>
      </c>
      <c r="C57" s="35" t="s">
        <v>103</v>
      </c>
      <c r="D57" s="35" t="s">
        <v>230</v>
      </c>
      <c r="E57" s="36" t="s">
        <v>223</v>
      </c>
      <c r="F57" s="88" t="s">
        <v>119</v>
      </c>
      <c r="G57" s="49">
        <v>80</v>
      </c>
      <c r="H57" s="47">
        <v>599.68</v>
      </c>
      <c r="I57" s="53">
        <f t="shared" si="3"/>
        <v>47974.399999999994</v>
      </c>
      <c r="J57" s="47">
        <f t="shared" si="2"/>
        <v>797.5744</v>
      </c>
      <c r="K57" s="38">
        <f t="shared" si="4"/>
        <v>63805.952</v>
      </c>
      <c r="L57" s="10"/>
      <c r="U57" s="94"/>
      <c r="V57" s="94"/>
      <c r="W57" s="94"/>
    </row>
    <row r="58" spans="2:23" ht="24.75" customHeight="1">
      <c r="B58" s="93" t="s">
        <v>164</v>
      </c>
      <c r="C58" s="35" t="s">
        <v>103</v>
      </c>
      <c r="D58" s="35" t="s">
        <v>231</v>
      </c>
      <c r="E58" s="36" t="s">
        <v>222</v>
      </c>
      <c r="F58" s="88" t="s">
        <v>119</v>
      </c>
      <c r="G58" s="49">
        <v>7</v>
      </c>
      <c r="H58" s="47">
        <v>1177.81</v>
      </c>
      <c r="I58" s="53">
        <f t="shared" si="3"/>
        <v>8244.67</v>
      </c>
      <c r="J58" s="47">
        <f t="shared" si="2"/>
        <v>1566.4873</v>
      </c>
      <c r="K58" s="38">
        <f t="shared" si="4"/>
        <v>10965.4111</v>
      </c>
      <c r="L58" s="10"/>
      <c r="U58" s="94"/>
      <c r="V58" s="94"/>
      <c r="W58" s="94"/>
    </row>
    <row r="59" spans="2:23" ht="24.75" customHeight="1">
      <c r="B59" s="93" t="s">
        <v>165</v>
      </c>
      <c r="C59" s="35" t="s">
        <v>39</v>
      </c>
      <c r="D59" s="35" t="s">
        <v>163</v>
      </c>
      <c r="E59" s="36" t="s">
        <v>167</v>
      </c>
      <c r="F59" s="88" t="s">
        <v>85</v>
      </c>
      <c r="G59" s="49">
        <f>M96+(1593*M104)</f>
        <v>7854.4</v>
      </c>
      <c r="H59" s="47">
        <v>1.6</v>
      </c>
      <c r="I59" s="53">
        <f t="shared" si="3"/>
        <v>12567.04</v>
      </c>
      <c r="J59" s="47">
        <f t="shared" si="2"/>
        <v>2.128</v>
      </c>
      <c r="K59" s="38">
        <f t="shared" si="4"/>
        <v>16714.1632</v>
      </c>
      <c r="L59" s="10"/>
      <c r="U59" s="94"/>
      <c r="V59" s="94"/>
      <c r="W59" s="94"/>
    </row>
    <row r="60" spans="2:23" ht="24.75" customHeight="1">
      <c r="B60" s="93" t="s">
        <v>175</v>
      </c>
      <c r="C60" s="35" t="s">
        <v>39</v>
      </c>
      <c r="D60" s="35" t="s">
        <v>162</v>
      </c>
      <c r="E60" s="36" t="s">
        <v>161</v>
      </c>
      <c r="F60" s="88" t="s">
        <v>85</v>
      </c>
      <c r="G60" s="49">
        <f>G59</f>
        <v>7854.4</v>
      </c>
      <c r="H60" s="47">
        <v>26.11</v>
      </c>
      <c r="I60" s="53">
        <f t="shared" si="3"/>
        <v>205078.384</v>
      </c>
      <c r="J60" s="47">
        <f t="shared" si="2"/>
        <v>34.7263</v>
      </c>
      <c r="K60" s="38">
        <f t="shared" si="4"/>
        <v>272754.25072</v>
      </c>
      <c r="L60" s="10"/>
      <c r="U60" s="20"/>
      <c r="V60" s="20"/>
      <c r="W60" s="20"/>
    </row>
    <row r="61" spans="2:23" ht="24.75" customHeight="1">
      <c r="B61" s="93" t="s">
        <v>232</v>
      </c>
      <c r="C61" s="35" t="s">
        <v>103</v>
      </c>
      <c r="D61" s="35" t="s">
        <v>106</v>
      </c>
      <c r="E61" s="36" t="s">
        <v>104</v>
      </c>
      <c r="F61" s="88" t="s">
        <v>101</v>
      </c>
      <c r="G61" s="49">
        <v>12</v>
      </c>
      <c r="H61" s="47">
        <v>156.95</v>
      </c>
      <c r="I61" s="53">
        <f t="shared" si="3"/>
        <v>1883.3999999999999</v>
      </c>
      <c r="J61" s="47">
        <f t="shared" si="2"/>
        <v>208.74349999999998</v>
      </c>
      <c r="K61" s="38">
        <f t="shared" si="4"/>
        <v>2504.9219999999996</v>
      </c>
      <c r="L61" s="10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2:23" ht="24.75" customHeight="1">
      <c r="B62" s="93" t="s">
        <v>233</v>
      </c>
      <c r="C62" s="35" t="s">
        <v>103</v>
      </c>
      <c r="D62" s="35" t="s">
        <v>107</v>
      </c>
      <c r="E62" s="36" t="s">
        <v>105</v>
      </c>
      <c r="F62" s="88" t="s">
        <v>101</v>
      </c>
      <c r="G62" s="49">
        <v>12</v>
      </c>
      <c r="H62" s="47">
        <v>56.58</v>
      </c>
      <c r="I62" s="53">
        <f t="shared" si="3"/>
        <v>678.96</v>
      </c>
      <c r="J62" s="47">
        <f t="shared" si="2"/>
        <v>75.2514</v>
      </c>
      <c r="K62" s="38">
        <f t="shared" si="4"/>
        <v>903.0168000000001</v>
      </c>
      <c r="L62" s="10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2:23" ht="24.75" customHeight="1">
      <c r="B63" s="93" t="s">
        <v>234</v>
      </c>
      <c r="C63" s="35" t="s">
        <v>103</v>
      </c>
      <c r="D63" s="35" t="s">
        <v>108</v>
      </c>
      <c r="E63" s="36" t="s">
        <v>102</v>
      </c>
      <c r="F63" s="88" t="s">
        <v>101</v>
      </c>
      <c r="G63" s="49">
        <v>12</v>
      </c>
      <c r="H63" s="47">
        <v>977.79</v>
      </c>
      <c r="I63" s="53">
        <f t="shared" si="3"/>
        <v>11733.48</v>
      </c>
      <c r="J63" s="47">
        <f t="shared" si="2"/>
        <v>1300.4607</v>
      </c>
      <c r="K63" s="38">
        <f t="shared" si="4"/>
        <v>15605.528400000001</v>
      </c>
      <c r="L63" s="10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2:23" ht="24.75" customHeight="1">
      <c r="B64" s="93" t="s">
        <v>235</v>
      </c>
      <c r="C64" s="35" t="s">
        <v>39</v>
      </c>
      <c r="D64" s="35" t="s">
        <v>166</v>
      </c>
      <c r="E64" s="36" t="s">
        <v>168</v>
      </c>
      <c r="F64" s="88" t="s">
        <v>85</v>
      </c>
      <c r="G64" s="49">
        <f>O106*N106</f>
        <v>2867.4</v>
      </c>
      <c r="H64" s="47">
        <v>3.14</v>
      </c>
      <c r="I64" s="53">
        <f t="shared" si="3"/>
        <v>9003.636</v>
      </c>
      <c r="J64" s="47">
        <f t="shared" si="2"/>
        <v>4.176200000000001</v>
      </c>
      <c r="K64" s="38">
        <f t="shared" si="4"/>
        <v>11974.835880000002</v>
      </c>
      <c r="L64" s="10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2:23" ht="24.75" customHeight="1">
      <c r="B65" s="93" t="s">
        <v>236</v>
      </c>
      <c r="C65" s="35" t="s">
        <v>39</v>
      </c>
      <c r="D65" s="35" t="s">
        <v>61</v>
      </c>
      <c r="E65" s="36" t="s">
        <v>171</v>
      </c>
      <c r="F65" s="37" t="s">
        <v>85</v>
      </c>
      <c r="G65" s="49">
        <f>G64</f>
        <v>2867.4</v>
      </c>
      <c r="H65" s="47">
        <v>9.5</v>
      </c>
      <c r="I65" s="53">
        <f t="shared" si="3"/>
        <v>27240.3</v>
      </c>
      <c r="J65" s="47">
        <f t="shared" si="2"/>
        <v>12.635000000000002</v>
      </c>
      <c r="K65" s="38">
        <f t="shared" si="4"/>
        <v>36229.59900000001</v>
      </c>
      <c r="L65" s="1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24.75" customHeight="1">
      <c r="B66" s="93" t="s">
        <v>237</v>
      </c>
      <c r="C66" s="35" t="s">
        <v>59</v>
      </c>
      <c r="D66" s="35">
        <v>7011</v>
      </c>
      <c r="E66" s="36" t="s">
        <v>169</v>
      </c>
      <c r="F66" s="37" t="s">
        <v>119</v>
      </c>
      <c r="G66" s="49">
        <v>3120</v>
      </c>
      <c r="H66" s="47">
        <v>2.2</v>
      </c>
      <c r="I66" s="53">
        <f t="shared" si="3"/>
        <v>6864.000000000001</v>
      </c>
      <c r="J66" s="47">
        <f t="shared" si="2"/>
        <v>2.9260000000000006</v>
      </c>
      <c r="K66" s="38">
        <f t="shared" si="4"/>
        <v>9129.120000000003</v>
      </c>
      <c r="L66" s="1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24.75" customHeight="1">
      <c r="B67" s="93" t="s">
        <v>238</v>
      </c>
      <c r="C67" s="35" t="s">
        <v>39</v>
      </c>
      <c r="D67" s="35" t="s">
        <v>45</v>
      </c>
      <c r="E67" s="36" t="s">
        <v>44</v>
      </c>
      <c r="F67" s="37" t="s">
        <v>119</v>
      </c>
      <c r="G67" s="49">
        <f>P103</f>
        <v>7812</v>
      </c>
      <c r="H67" s="47">
        <v>25.51</v>
      </c>
      <c r="I67" s="53">
        <f t="shared" si="3"/>
        <v>199284.12000000002</v>
      </c>
      <c r="J67" s="47">
        <f t="shared" si="2"/>
        <v>33.92830000000001</v>
      </c>
      <c r="K67" s="38">
        <f t="shared" si="4"/>
        <v>265047.87960000004</v>
      </c>
      <c r="L67" s="1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24.75" customHeight="1" thickBot="1">
      <c r="B68" s="93" t="s">
        <v>244</v>
      </c>
      <c r="C68" s="35" t="s">
        <v>59</v>
      </c>
      <c r="D68" s="35" t="s">
        <v>68</v>
      </c>
      <c r="E68" s="36" t="s">
        <v>67</v>
      </c>
      <c r="F68" s="37" t="s">
        <v>119</v>
      </c>
      <c r="G68" s="49">
        <v>3320</v>
      </c>
      <c r="H68" s="47">
        <v>24.74</v>
      </c>
      <c r="I68" s="53">
        <f t="shared" si="3"/>
        <v>82136.79999999999</v>
      </c>
      <c r="J68" s="47">
        <f t="shared" si="2"/>
        <v>32.9042</v>
      </c>
      <c r="K68" s="38">
        <f t="shared" si="4"/>
        <v>109241.944</v>
      </c>
      <c r="L68" s="1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5" hidden="1">
      <c r="B69" s="40" t="s">
        <v>152</v>
      </c>
      <c r="C69" s="41"/>
      <c r="D69" s="41"/>
      <c r="E69" s="42" t="s">
        <v>40</v>
      </c>
      <c r="F69" s="43"/>
      <c r="G69" s="50"/>
      <c r="H69" s="48"/>
      <c r="I69" s="102">
        <f>SUM(I70:I76)</f>
        <v>0</v>
      </c>
      <c r="J69" s="52"/>
      <c r="K69" s="102">
        <f>SUM(K70:K76)</f>
        <v>0</v>
      </c>
      <c r="L69" s="1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42.75" customHeight="1" hidden="1">
      <c r="B70" s="34" t="s">
        <v>56</v>
      </c>
      <c r="C70" s="35" t="s">
        <v>39</v>
      </c>
      <c r="D70" s="35" t="s">
        <v>129</v>
      </c>
      <c r="E70" s="36" t="s">
        <v>93</v>
      </c>
      <c r="F70" s="95" t="s">
        <v>119</v>
      </c>
      <c r="G70" s="49"/>
      <c r="H70" s="47">
        <v>1.05</v>
      </c>
      <c r="I70" s="53">
        <f t="shared" si="3"/>
        <v>0</v>
      </c>
      <c r="J70" s="47">
        <f aca="true" t="shared" si="5" ref="J70:J84">H70*1.3</f>
        <v>1.3650000000000002</v>
      </c>
      <c r="K70" s="38">
        <f t="shared" si="4"/>
        <v>0</v>
      </c>
      <c r="L70" s="1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s="7" customFormat="1" ht="35.25" customHeight="1" hidden="1">
      <c r="B71" s="34" t="s">
        <v>25</v>
      </c>
      <c r="C71" s="35" t="s">
        <v>39</v>
      </c>
      <c r="D71" s="35" t="s">
        <v>130</v>
      </c>
      <c r="E71" s="36" t="s">
        <v>94</v>
      </c>
      <c r="F71" s="96" t="s">
        <v>119</v>
      </c>
      <c r="G71" s="46"/>
      <c r="H71" s="47">
        <v>2.11</v>
      </c>
      <c r="I71" s="53">
        <f t="shared" si="3"/>
        <v>0</v>
      </c>
      <c r="J71" s="47">
        <f t="shared" si="5"/>
        <v>2.743</v>
      </c>
      <c r="K71" s="38">
        <f t="shared" si="4"/>
        <v>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s="7" customFormat="1" ht="39" customHeight="1" hidden="1">
      <c r="B72" s="34" t="s">
        <v>26</v>
      </c>
      <c r="C72" s="35" t="s">
        <v>39</v>
      </c>
      <c r="D72" s="35" t="s">
        <v>131</v>
      </c>
      <c r="E72" s="36" t="s">
        <v>95</v>
      </c>
      <c r="F72" s="96" t="s">
        <v>119</v>
      </c>
      <c r="G72" s="46"/>
      <c r="H72" s="47">
        <v>3.16</v>
      </c>
      <c r="I72" s="53">
        <f t="shared" si="3"/>
        <v>0</v>
      </c>
      <c r="J72" s="47">
        <f t="shared" si="5"/>
        <v>4.1080000000000005</v>
      </c>
      <c r="K72" s="38">
        <f t="shared" si="4"/>
        <v>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s="7" customFormat="1" ht="39" customHeight="1" hidden="1">
      <c r="B73" s="34" t="s">
        <v>57</v>
      </c>
      <c r="C73" s="35" t="s">
        <v>39</v>
      </c>
      <c r="D73" s="35" t="s">
        <v>132</v>
      </c>
      <c r="E73" s="36" t="s">
        <v>96</v>
      </c>
      <c r="F73" s="96" t="s">
        <v>85</v>
      </c>
      <c r="G73" s="46"/>
      <c r="H73" s="47">
        <v>10.54</v>
      </c>
      <c r="I73" s="53">
        <f t="shared" si="3"/>
        <v>0</v>
      </c>
      <c r="J73" s="47">
        <f t="shared" si="5"/>
        <v>13.702</v>
      </c>
      <c r="K73" s="38">
        <f t="shared" si="4"/>
        <v>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s="7" customFormat="1" ht="39" customHeight="1" hidden="1">
      <c r="B74" s="34" t="s">
        <v>58</v>
      </c>
      <c r="C74" s="35" t="s">
        <v>39</v>
      </c>
      <c r="D74" s="35" t="s">
        <v>133</v>
      </c>
      <c r="E74" s="36" t="s">
        <v>97</v>
      </c>
      <c r="F74" s="96" t="s">
        <v>85</v>
      </c>
      <c r="G74" s="46"/>
      <c r="H74" s="47">
        <v>15.81</v>
      </c>
      <c r="I74" s="53">
        <f t="shared" si="3"/>
        <v>0</v>
      </c>
      <c r="J74" s="47">
        <f t="shared" si="5"/>
        <v>20.553</v>
      </c>
      <c r="K74" s="38">
        <f t="shared" si="4"/>
        <v>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s="7" customFormat="1" ht="39" customHeight="1" hidden="1">
      <c r="B75" s="34" t="s">
        <v>36</v>
      </c>
      <c r="C75" s="35" t="s">
        <v>39</v>
      </c>
      <c r="D75" s="35" t="s">
        <v>134</v>
      </c>
      <c r="E75" s="36" t="s">
        <v>98</v>
      </c>
      <c r="F75" s="96" t="s">
        <v>8</v>
      </c>
      <c r="G75" s="46"/>
      <c r="H75" s="47">
        <v>5.69</v>
      </c>
      <c r="I75" s="53">
        <f t="shared" si="3"/>
        <v>0</v>
      </c>
      <c r="J75" s="47">
        <f t="shared" si="5"/>
        <v>7.397000000000001</v>
      </c>
      <c r="K75" s="38">
        <f t="shared" si="4"/>
        <v>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s="7" customFormat="1" ht="39" customHeight="1" hidden="1">
      <c r="B76" s="34" t="s">
        <v>153</v>
      </c>
      <c r="C76" s="35" t="s">
        <v>39</v>
      </c>
      <c r="D76" s="35" t="s">
        <v>135</v>
      </c>
      <c r="E76" s="36" t="s">
        <v>99</v>
      </c>
      <c r="F76" s="96" t="s">
        <v>8</v>
      </c>
      <c r="G76" s="46"/>
      <c r="H76" s="47">
        <v>6.5</v>
      </c>
      <c r="I76" s="53">
        <f t="shared" si="3"/>
        <v>0</v>
      </c>
      <c r="J76" s="47">
        <f t="shared" si="5"/>
        <v>8.450000000000001</v>
      </c>
      <c r="K76" s="38">
        <f t="shared" si="4"/>
        <v>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34" s="7" customFormat="1" ht="15" hidden="1">
      <c r="B77" s="44">
        <v>7</v>
      </c>
      <c r="C77" s="41"/>
      <c r="D77" s="41"/>
      <c r="E77" s="42" t="s">
        <v>38</v>
      </c>
      <c r="F77" s="43"/>
      <c r="G77" s="51"/>
      <c r="H77" s="48"/>
      <c r="I77" s="102">
        <f>SUM(I78:I84)</f>
        <v>0</v>
      </c>
      <c r="J77" s="52"/>
      <c r="K77" s="102">
        <f>SUM(K78:K84)</f>
        <v>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s="7" customFormat="1" ht="30" customHeight="1" hidden="1">
      <c r="B78" s="34" t="s">
        <v>154</v>
      </c>
      <c r="C78" s="35"/>
      <c r="D78" s="35" t="s">
        <v>30</v>
      </c>
      <c r="E78" s="36" t="s">
        <v>136</v>
      </c>
      <c r="F78" s="37" t="s">
        <v>11</v>
      </c>
      <c r="G78" s="100"/>
      <c r="H78" s="47">
        <v>450</v>
      </c>
      <c r="I78" s="53">
        <f aca="true" t="shared" si="6" ref="I78:I84">H78*G78</f>
        <v>0</v>
      </c>
      <c r="J78" s="47">
        <f t="shared" si="5"/>
        <v>585</v>
      </c>
      <c r="K78" s="104">
        <f aca="true" t="shared" si="7" ref="K78:K84">G78*J78</f>
        <v>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s="7" customFormat="1" ht="43.5" customHeight="1" hidden="1">
      <c r="B79" s="34" t="s">
        <v>155</v>
      </c>
      <c r="C79" s="35"/>
      <c r="D79" s="35" t="s">
        <v>30</v>
      </c>
      <c r="E79" s="36" t="s">
        <v>137</v>
      </c>
      <c r="F79" s="37" t="s">
        <v>11</v>
      </c>
      <c r="G79" s="101"/>
      <c r="H79" s="47">
        <v>450</v>
      </c>
      <c r="I79" s="53">
        <f t="shared" si="6"/>
        <v>0</v>
      </c>
      <c r="J79" s="47">
        <f t="shared" si="5"/>
        <v>585</v>
      </c>
      <c r="K79" s="104">
        <f t="shared" si="7"/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s="9" customFormat="1" ht="38.25" customHeight="1" hidden="1">
      <c r="B80" s="34" t="s">
        <v>156</v>
      </c>
      <c r="C80" s="35"/>
      <c r="D80" s="35" t="s">
        <v>30</v>
      </c>
      <c r="E80" s="36" t="s">
        <v>138</v>
      </c>
      <c r="F80" s="37" t="s">
        <v>11</v>
      </c>
      <c r="G80" s="101"/>
      <c r="H80" s="47">
        <v>450</v>
      </c>
      <c r="I80" s="53">
        <f t="shared" si="6"/>
        <v>0</v>
      </c>
      <c r="J80" s="47">
        <f t="shared" si="5"/>
        <v>585</v>
      </c>
      <c r="K80" s="104">
        <f t="shared" si="7"/>
        <v>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26.25" customHeight="1" hidden="1">
      <c r="B81" s="34" t="s">
        <v>157</v>
      </c>
      <c r="C81" s="35"/>
      <c r="D81" s="35" t="s">
        <v>30</v>
      </c>
      <c r="E81" s="36" t="s">
        <v>139</v>
      </c>
      <c r="F81" s="37" t="s">
        <v>11</v>
      </c>
      <c r="G81" s="101"/>
      <c r="H81" s="47">
        <v>54</v>
      </c>
      <c r="I81" s="53">
        <f t="shared" si="6"/>
        <v>0</v>
      </c>
      <c r="J81" s="47">
        <f t="shared" si="5"/>
        <v>70.2</v>
      </c>
      <c r="K81" s="104">
        <f t="shared" si="7"/>
        <v>0</v>
      </c>
      <c r="L81" s="1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</row>
    <row r="82" spans="2:34" s="7" customFormat="1" ht="15" hidden="1">
      <c r="B82" s="34" t="s">
        <v>158</v>
      </c>
      <c r="C82" s="35"/>
      <c r="D82" s="35" t="s">
        <v>30</v>
      </c>
      <c r="E82" s="36" t="s">
        <v>140</v>
      </c>
      <c r="F82" s="37" t="s">
        <v>8</v>
      </c>
      <c r="G82" s="100"/>
      <c r="H82" s="47">
        <v>92</v>
      </c>
      <c r="I82" s="53">
        <f t="shared" si="6"/>
        <v>0</v>
      </c>
      <c r="J82" s="47">
        <f t="shared" si="5"/>
        <v>119.60000000000001</v>
      </c>
      <c r="K82" s="104">
        <f t="shared" si="7"/>
        <v>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s="7" customFormat="1" ht="15" hidden="1">
      <c r="B83" s="34" t="s">
        <v>159</v>
      </c>
      <c r="C83" s="35"/>
      <c r="D83" s="35" t="s">
        <v>30</v>
      </c>
      <c r="E83" s="36" t="s">
        <v>141</v>
      </c>
      <c r="F83" s="37" t="s">
        <v>8</v>
      </c>
      <c r="G83" s="100"/>
      <c r="H83" s="47">
        <v>26.76</v>
      </c>
      <c r="I83" s="53">
        <f t="shared" si="6"/>
        <v>0</v>
      </c>
      <c r="J83" s="47">
        <f t="shared" si="5"/>
        <v>34.788000000000004</v>
      </c>
      <c r="K83" s="104">
        <f t="shared" si="7"/>
        <v>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s="7" customFormat="1" ht="15" hidden="1">
      <c r="B84" s="170" t="s">
        <v>160</v>
      </c>
      <c r="C84" s="154"/>
      <c r="D84" s="154" t="s">
        <v>30</v>
      </c>
      <c r="E84" s="106" t="s">
        <v>142</v>
      </c>
      <c r="F84" s="176" t="s">
        <v>8</v>
      </c>
      <c r="G84" s="183"/>
      <c r="H84" s="156">
        <v>45</v>
      </c>
      <c r="I84" s="157">
        <f t="shared" si="6"/>
        <v>0</v>
      </c>
      <c r="J84" s="156">
        <f t="shared" si="5"/>
        <v>58.5</v>
      </c>
      <c r="K84" s="184">
        <f t="shared" si="7"/>
        <v>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17" ht="42.75" customHeight="1" thickBot="1">
      <c r="B85" s="185"/>
      <c r="C85" s="186"/>
      <c r="D85" s="186"/>
      <c r="E85" s="187"/>
      <c r="F85" s="188"/>
      <c r="G85" s="189" t="s">
        <v>10</v>
      </c>
      <c r="H85" s="190" t="s">
        <v>29</v>
      </c>
      <c r="I85" s="191">
        <f>SUM(I13:I84)/2</f>
        <v>2731109.411194033</v>
      </c>
      <c r="J85" s="192" t="s">
        <v>30</v>
      </c>
      <c r="K85" s="168">
        <f>SUM(K13:K84)/2</f>
        <v>3632375.516888065</v>
      </c>
      <c r="L85" s="99">
        <f>SUM(K77+K69+K50+K35+K31+K24+K13)</f>
        <v>3632375.5168880643</v>
      </c>
      <c r="M85" s="20"/>
      <c r="N85" s="20"/>
      <c r="O85" s="20"/>
      <c r="P85" s="20"/>
      <c r="Q85" s="20"/>
    </row>
    <row r="86" spans="2:14" ht="46.5" customHeight="1" thickBot="1">
      <c r="B86" s="226"/>
      <c r="C86" s="227"/>
      <c r="D86" s="227"/>
      <c r="E86" s="227"/>
      <c r="F86" s="227"/>
      <c r="G86" s="227"/>
      <c r="H86" s="227"/>
      <c r="I86" s="227"/>
      <c r="J86" s="227"/>
      <c r="K86" s="228"/>
      <c r="N86" s="14">
        <f>N90-O90</f>
        <v>43694.57</v>
      </c>
    </row>
    <row r="89" spans="4:10" ht="15">
      <c r="D89" s="21"/>
      <c r="E89" s="233"/>
      <c r="F89" s="233"/>
      <c r="G89" s="83"/>
      <c r="H89" s="83"/>
      <c r="I89" s="20"/>
      <c r="J89" s="83"/>
    </row>
    <row r="90" spans="3:17" ht="15">
      <c r="C90" s="10"/>
      <c r="D90" s="10"/>
      <c r="E90" s="10"/>
      <c r="F90" s="10"/>
      <c r="G90" s="10"/>
      <c r="H90" s="10"/>
      <c r="I90" s="10"/>
      <c r="J90" s="10"/>
      <c r="L90" s="10"/>
      <c r="M90" s="20"/>
      <c r="N90" s="20">
        <v>48502.76</v>
      </c>
      <c r="O90" s="20">
        <v>4808.19</v>
      </c>
      <c r="P90" s="20"/>
      <c r="Q90" s="20"/>
    </row>
    <row r="91" spans="3:19" ht="15">
      <c r="C91" s="10"/>
      <c r="D91" s="10"/>
      <c r="E91" s="10"/>
      <c r="F91" s="10"/>
      <c r="G91" s="10"/>
      <c r="H91" s="10"/>
      <c r="I91" s="10"/>
      <c r="J91" s="10"/>
      <c r="L91" s="14"/>
      <c r="M91" s="21"/>
      <c r="N91" s="21"/>
      <c r="O91" s="21"/>
      <c r="P91" s="21"/>
      <c r="Q91" s="21"/>
      <c r="R91" s="21"/>
      <c r="S91" s="21"/>
    </row>
    <row r="92" spans="3:19" ht="15">
      <c r="C92" s="10"/>
      <c r="D92" s="10"/>
      <c r="E92" s="10"/>
      <c r="F92" s="10"/>
      <c r="G92" s="10"/>
      <c r="H92" s="10"/>
      <c r="I92" s="10"/>
      <c r="J92" s="10"/>
      <c r="L92" s="14"/>
      <c r="N92" s="84"/>
      <c r="O92" s="234"/>
      <c r="P92" s="234"/>
      <c r="Q92" s="84"/>
      <c r="R92" s="225"/>
      <c r="S92" s="225"/>
    </row>
    <row r="93" spans="3:19" ht="15">
      <c r="C93" s="10"/>
      <c r="D93" s="10"/>
      <c r="E93" s="10"/>
      <c r="F93" s="10"/>
      <c r="G93" s="10"/>
      <c r="H93" s="10"/>
      <c r="I93" s="10"/>
      <c r="J93" s="10"/>
      <c r="L93" s="14"/>
      <c r="M93" s="84"/>
      <c r="N93" s="84"/>
      <c r="O93" s="84"/>
      <c r="P93" s="84"/>
      <c r="Q93" s="84"/>
      <c r="R93" s="21"/>
      <c r="S93" s="21"/>
    </row>
    <row r="94" spans="3:19" ht="15">
      <c r="C94" s="10"/>
      <c r="D94" s="10"/>
      <c r="E94" s="10"/>
      <c r="F94" s="10"/>
      <c r="G94" s="10"/>
      <c r="H94" s="10"/>
      <c r="I94" s="10"/>
      <c r="J94" s="10"/>
      <c r="L94" s="14"/>
      <c r="M94" s="84"/>
      <c r="N94" s="84"/>
      <c r="O94" s="84"/>
      <c r="P94" s="84"/>
      <c r="Q94" s="84"/>
      <c r="R94" s="21"/>
      <c r="S94" s="21"/>
    </row>
    <row r="95" spans="3:19" ht="26.25">
      <c r="C95" s="10"/>
      <c r="D95" s="10"/>
      <c r="E95" s="10"/>
      <c r="F95" s="10"/>
      <c r="G95" s="10"/>
      <c r="H95" s="10"/>
      <c r="I95" s="10"/>
      <c r="J95" s="10"/>
      <c r="L95" s="14"/>
      <c r="M95" s="84" t="s">
        <v>173</v>
      </c>
      <c r="N95" s="84"/>
      <c r="O95" s="84"/>
      <c r="P95" s="84"/>
      <c r="Q95" s="84"/>
      <c r="R95" s="21"/>
      <c r="S95" s="21"/>
    </row>
    <row r="96" spans="3:19" ht="15">
      <c r="C96" s="10"/>
      <c r="D96" s="10"/>
      <c r="E96" s="10"/>
      <c r="F96" s="10"/>
      <c r="G96" s="10"/>
      <c r="H96" s="10"/>
      <c r="I96" s="10"/>
      <c r="J96" s="10"/>
      <c r="L96" s="14"/>
      <c r="M96" s="85">
        <v>208</v>
      </c>
      <c r="N96" s="84"/>
      <c r="O96" s="84"/>
      <c r="P96" s="84"/>
      <c r="Q96" s="84"/>
      <c r="R96" s="21"/>
      <c r="S96" s="21"/>
    </row>
    <row r="97" spans="3:19" ht="26.25">
      <c r="C97" s="10"/>
      <c r="D97" s="10"/>
      <c r="E97" s="10"/>
      <c r="F97" s="10"/>
      <c r="G97" s="10"/>
      <c r="H97" s="10"/>
      <c r="I97" s="10"/>
      <c r="J97" s="10"/>
      <c r="L97" s="14"/>
      <c r="M97" s="84" t="s">
        <v>173</v>
      </c>
      <c r="N97" s="84" t="s">
        <v>109</v>
      </c>
      <c r="O97" s="84" t="s">
        <v>110</v>
      </c>
      <c r="P97" s="84"/>
      <c r="Q97" s="84"/>
      <c r="R97" s="21"/>
      <c r="S97" s="21"/>
    </row>
    <row r="98" spans="3:19" ht="15">
      <c r="C98" s="10"/>
      <c r="D98" s="10"/>
      <c r="E98" s="10"/>
      <c r="F98" s="10"/>
      <c r="G98" s="10"/>
      <c r="H98" s="10"/>
      <c r="I98" s="10"/>
      <c r="J98" s="10"/>
      <c r="L98" s="14"/>
      <c r="M98" s="85">
        <v>1120</v>
      </c>
      <c r="N98" s="85">
        <v>48502.76</v>
      </c>
      <c r="O98" s="85">
        <v>4808.19</v>
      </c>
      <c r="P98" s="90"/>
      <c r="Q98" s="84"/>
      <c r="R98" s="21"/>
      <c r="S98" s="21"/>
    </row>
    <row r="99" spans="3:19" ht="15">
      <c r="C99" s="10"/>
      <c r="D99" s="10"/>
      <c r="E99" s="10"/>
      <c r="F99" s="10"/>
      <c r="G99" s="10"/>
      <c r="H99" s="10"/>
      <c r="I99" s="10"/>
      <c r="J99" s="10"/>
      <c r="L99" s="20"/>
      <c r="M99" s="84"/>
      <c r="N99" s="84"/>
      <c r="O99" s="86"/>
      <c r="P99" s="86"/>
      <c r="Q99" s="88"/>
      <c r="R99" s="14"/>
      <c r="S99" s="14"/>
    </row>
    <row r="100" spans="3:19" ht="26.25">
      <c r="C100" s="10"/>
      <c r="D100" s="10"/>
      <c r="E100" s="10"/>
      <c r="F100" s="10"/>
      <c r="G100" s="10"/>
      <c r="H100" s="10"/>
      <c r="I100" s="10"/>
      <c r="J100" s="10"/>
      <c r="L100" s="20"/>
      <c r="M100" s="84" t="s">
        <v>75</v>
      </c>
      <c r="N100" s="84" t="s">
        <v>76</v>
      </c>
      <c r="O100" s="84" t="s">
        <v>77</v>
      </c>
      <c r="P100" s="84" t="s">
        <v>78</v>
      </c>
      <c r="Q100" s="87" t="s">
        <v>74</v>
      </c>
      <c r="R100" s="14"/>
      <c r="S100" s="14"/>
    </row>
    <row r="101" spans="3:19" ht="15">
      <c r="C101" s="10"/>
      <c r="D101" s="10"/>
      <c r="E101" s="10"/>
      <c r="F101" s="10"/>
      <c r="G101" s="10"/>
      <c r="H101" s="10"/>
      <c r="I101" s="10"/>
      <c r="J101" s="10"/>
      <c r="L101" s="20"/>
      <c r="M101" s="85">
        <v>1760</v>
      </c>
      <c r="N101" s="85">
        <v>23</v>
      </c>
      <c r="O101" s="85">
        <v>0.15</v>
      </c>
      <c r="P101" s="85">
        <v>0.15</v>
      </c>
      <c r="Q101" s="89">
        <v>0.06</v>
      </c>
      <c r="R101" s="14"/>
      <c r="S101" s="14"/>
    </row>
    <row r="102" spans="3:19" ht="26.25">
      <c r="C102" s="10"/>
      <c r="D102" s="10"/>
      <c r="E102" s="10"/>
      <c r="F102" s="10"/>
      <c r="G102" s="10"/>
      <c r="H102" s="10"/>
      <c r="I102" s="10"/>
      <c r="J102" s="10"/>
      <c r="L102" s="20"/>
      <c r="M102" s="84" t="s">
        <v>72</v>
      </c>
      <c r="N102" s="84" t="s">
        <v>79</v>
      </c>
      <c r="P102" s="91" t="s">
        <v>120</v>
      </c>
      <c r="Q102" s="88" t="s">
        <v>170</v>
      </c>
      <c r="R102" s="14"/>
      <c r="S102" s="14"/>
    </row>
    <row r="103" spans="3:19" ht="26.25">
      <c r="C103" s="10"/>
      <c r="D103" s="10"/>
      <c r="E103" s="10"/>
      <c r="F103" s="10"/>
      <c r="G103" s="10"/>
      <c r="H103" s="10"/>
      <c r="I103" s="10"/>
      <c r="J103" s="10"/>
      <c r="L103" s="20"/>
      <c r="M103" s="84" t="s">
        <v>80</v>
      </c>
      <c r="N103" s="85">
        <v>0.3</v>
      </c>
      <c r="O103" s="9"/>
      <c r="P103" s="84">
        <f>(O106*2)+(3920+P106)</f>
        <v>7812</v>
      </c>
      <c r="Q103" s="84">
        <v>3120</v>
      </c>
      <c r="R103" s="20"/>
      <c r="S103" s="20"/>
    </row>
    <row r="104" spans="3:19" ht="15">
      <c r="C104" s="10"/>
      <c r="D104" s="10"/>
      <c r="E104" s="10"/>
      <c r="F104" s="10"/>
      <c r="G104" s="10"/>
      <c r="H104" s="10"/>
      <c r="I104" s="10"/>
      <c r="J104" s="10"/>
      <c r="L104" s="20"/>
      <c r="M104" s="85">
        <v>4.8</v>
      </c>
      <c r="N104" s="84"/>
      <c r="O104" s="9"/>
      <c r="P104" s="84"/>
      <c r="Q104" s="84"/>
      <c r="R104" s="20"/>
      <c r="S104" s="20"/>
    </row>
    <row r="105" spans="3:19" ht="26.25">
      <c r="C105" s="10"/>
      <c r="D105" s="10"/>
      <c r="E105" s="10"/>
      <c r="F105" s="10"/>
      <c r="G105" s="10"/>
      <c r="H105" s="10"/>
      <c r="I105" s="10"/>
      <c r="J105" s="10"/>
      <c r="L105" s="20"/>
      <c r="M105" s="91" t="s">
        <v>82</v>
      </c>
      <c r="N105" s="84" t="s">
        <v>81</v>
      </c>
      <c r="O105" s="84" t="s">
        <v>73</v>
      </c>
      <c r="P105" s="84" t="s">
        <v>172</v>
      </c>
      <c r="Q105" s="9"/>
      <c r="R105" s="20"/>
      <c r="S105" s="20"/>
    </row>
    <row r="106" spans="3:19" ht="15">
      <c r="C106" s="10"/>
      <c r="D106" s="10"/>
      <c r="E106" s="10"/>
      <c r="F106" s="10"/>
      <c r="G106" s="10"/>
      <c r="H106" s="10"/>
      <c r="I106" s="10"/>
      <c r="J106" s="10"/>
      <c r="L106" s="20"/>
      <c r="M106" s="85">
        <v>15</v>
      </c>
      <c r="N106" s="85">
        <v>1.8</v>
      </c>
      <c r="O106" s="85">
        <f>SUM(1760-45-45-30-47)</f>
        <v>1593</v>
      </c>
      <c r="P106" s="85">
        <v>706</v>
      </c>
      <c r="Q106" s="91"/>
      <c r="R106" s="20"/>
      <c r="S106" s="20"/>
    </row>
    <row r="107" spans="3:16" ht="12.75">
      <c r="C107" s="10"/>
      <c r="D107" s="10"/>
      <c r="E107" s="10"/>
      <c r="F107" s="10"/>
      <c r="G107" s="10"/>
      <c r="H107" s="10"/>
      <c r="I107" s="10"/>
      <c r="J107" s="10"/>
      <c r="L107" s="14"/>
      <c r="N107" s="10"/>
      <c r="P107" s="10">
        <v>706</v>
      </c>
    </row>
    <row r="108" spans="3:19" ht="15">
      <c r="C108" s="10"/>
      <c r="D108" s="10"/>
      <c r="E108" s="10"/>
      <c r="F108" s="10"/>
      <c r="G108" s="10"/>
      <c r="H108" s="10"/>
      <c r="I108" s="10"/>
      <c r="J108" s="10"/>
      <c r="L108" s="14"/>
      <c r="N108" s="10"/>
      <c r="S108" s="20"/>
    </row>
    <row r="109" spans="3:19" ht="15">
      <c r="C109" s="10"/>
      <c r="D109" s="10"/>
      <c r="E109" s="10"/>
      <c r="F109" s="10"/>
      <c r="G109" s="10"/>
      <c r="H109" s="10"/>
      <c r="I109" s="10"/>
      <c r="J109" s="10"/>
      <c r="L109" s="14"/>
      <c r="N109" s="10"/>
      <c r="S109" s="20"/>
    </row>
    <row r="110" spans="3:19" ht="15">
      <c r="C110" s="10"/>
      <c r="D110" s="10"/>
      <c r="E110" s="10"/>
      <c r="F110" s="10"/>
      <c r="G110" s="10"/>
      <c r="H110" s="10"/>
      <c r="I110" s="10"/>
      <c r="J110" s="10"/>
      <c r="L110" s="14"/>
      <c r="M110" s="98" t="s">
        <v>144</v>
      </c>
      <c r="N110" s="98" t="s">
        <v>252</v>
      </c>
      <c r="S110" s="20"/>
    </row>
    <row r="111" spans="3:19" ht="15">
      <c r="C111" s="10"/>
      <c r="D111" s="10"/>
      <c r="E111" s="10"/>
      <c r="F111" s="10"/>
      <c r="G111" s="10"/>
      <c r="H111" s="10"/>
      <c r="I111" s="10"/>
      <c r="J111" s="10"/>
      <c r="L111" s="14"/>
      <c r="M111" s="98"/>
      <c r="N111" s="98" t="s">
        <v>253</v>
      </c>
      <c r="S111" s="20"/>
    </row>
    <row r="112" spans="3:19" ht="15">
      <c r="C112" s="10"/>
      <c r="D112" s="10"/>
      <c r="E112" s="10"/>
      <c r="F112" s="10"/>
      <c r="G112" s="10"/>
      <c r="H112" s="10"/>
      <c r="I112" s="10"/>
      <c r="J112" s="10"/>
      <c r="L112" s="14"/>
      <c r="M112" s="98"/>
      <c r="N112" s="98"/>
      <c r="S112" s="20"/>
    </row>
    <row r="113" spans="5:19" ht="15">
      <c r="E113" s="10"/>
      <c r="F113" s="10"/>
      <c r="G113" s="10"/>
      <c r="H113" s="10"/>
      <c r="I113" s="10"/>
      <c r="J113" s="20"/>
      <c r="L113" s="14"/>
      <c r="N113" s="10"/>
      <c r="S113" s="20"/>
    </row>
    <row r="114" spans="3:10" ht="15">
      <c r="C114" s="20"/>
      <c r="D114" s="20"/>
      <c r="E114" s="20"/>
      <c r="F114" s="20"/>
      <c r="G114" s="20"/>
      <c r="H114" s="20"/>
      <c r="I114" s="20"/>
      <c r="J114" s="20"/>
    </row>
    <row r="120" ht="12.75">
      <c r="L120" s="10"/>
    </row>
    <row r="121" ht="12.75">
      <c r="L121" s="10"/>
    </row>
    <row r="122" ht="12.75">
      <c r="L122" s="10"/>
    </row>
    <row r="131" spans="7:12" ht="12.75">
      <c r="G131" s="23"/>
      <c r="H131" s="23"/>
      <c r="I131" s="23"/>
      <c r="L131" s="10"/>
    </row>
    <row r="132" spans="7:12" ht="12.75">
      <c r="G132" s="23"/>
      <c r="H132" s="23"/>
      <c r="I132" s="23"/>
      <c r="L132" s="10"/>
    </row>
    <row r="133" spans="7:12" ht="12.75">
      <c r="G133" s="23"/>
      <c r="H133" s="23"/>
      <c r="I133" s="23"/>
      <c r="L133" s="10"/>
    </row>
    <row r="134" spans="7:12" ht="12.75">
      <c r="G134" s="23"/>
      <c r="H134" s="23"/>
      <c r="I134" s="23"/>
      <c r="L134" s="10"/>
    </row>
    <row r="135" spans="7:12" ht="12.75">
      <c r="G135" s="23"/>
      <c r="H135" s="23"/>
      <c r="I135" s="23"/>
      <c r="L135" s="10"/>
    </row>
    <row r="136" spans="7:12" ht="12.75">
      <c r="G136" s="23"/>
      <c r="H136" s="23"/>
      <c r="I136" s="23"/>
      <c r="L136" s="10"/>
    </row>
    <row r="137" spans="7:12" ht="12.75">
      <c r="G137" s="23"/>
      <c r="H137" s="23"/>
      <c r="I137" s="23"/>
      <c r="L137" s="10"/>
    </row>
    <row r="138" spans="7:12" ht="12.75">
      <c r="G138" s="23"/>
      <c r="H138" s="23"/>
      <c r="I138" s="23"/>
      <c r="L138" s="10"/>
    </row>
    <row r="139" spans="7:12" ht="12.75">
      <c r="G139" s="23"/>
      <c r="H139" s="23"/>
      <c r="I139" s="23"/>
      <c r="L139" s="10"/>
    </row>
    <row r="140" spans="7:12" ht="12.75">
      <c r="G140" s="23"/>
      <c r="H140" s="23"/>
      <c r="I140" s="23"/>
      <c r="L140" s="10"/>
    </row>
    <row r="141" spans="7:12" ht="12.75">
      <c r="G141" s="23"/>
      <c r="H141" s="23"/>
      <c r="I141" s="23"/>
      <c r="L141" s="10"/>
    </row>
    <row r="142" spans="7:12" ht="12.75">
      <c r="G142" s="23"/>
      <c r="H142" s="23"/>
      <c r="I142" s="23"/>
      <c r="L142" s="10"/>
    </row>
    <row r="143" spans="7:12" ht="12.75">
      <c r="G143" s="23"/>
      <c r="H143" s="23"/>
      <c r="I143" s="23"/>
      <c r="L143" s="10"/>
    </row>
    <row r="144" spans="7:12" ht="12.75">
      <c r="G144" s="23"/>
      <c r="H144" s="23"/>
      <c r="I144" s="23"/>
      <c r="L144" s="10"/>
    </row>
    <row r="145" spans="7:12" ht="12.75">
      <c r="G145" s="23"/>
      <c r="H145" s="23"/>
      <c r="I145" s="23"/>
      <c r="L145" s="10"/>
    </row>
    <row r="146" spans="7:12" ht="12.75">
      <c r="G146" s="23"/>
      <c r="H146" s="23"/>
      <c r="I146" s="23"/>
      <c r="L146" s="10"/>
    </row>
    <row r="147" spans="7:12" ht="12.75">
      <c r="G147" s="23"/>
      <c r="H147" s="23"/>
      <c r="I147" s="23"/>
      <c r="L147" s="10"/>
    </row>
    <row r="148" spans="7:12" ht="12.75">
      <c r="G148" s="23"/>
      <c r="H148" s="23"/>
      <c r="I148" s="23"/>
      <c r="L148" s="10"/>
    </row>
    <row r="149" spans="7:12" ht="12.75">
      <c r="G149" s="23"/>
      <c r="H149" s="23"/>
      <c r="I149" s="23"/>
      <c r="L149" s="10"/>
    </row>
    <row r="150" spans="7:12" ht="12.75">
      <c r="G150" s="23"/>
      <c r="H150" s="23"/>
      <c r="I150" s="23"/>
      <c r="L150" s="10"/>
    </row>
    <row r="151" spans="7:12" ht="12.75">
      <c r="G151" s="23"/>
      <c r="H151" s="23"/>
      <c r="I151" s="23"/>
      <c r="L151" s="10"/>
    </row>
    <row r="152" spans="7:12" ht="12.75">
      <c r="G152" s="23"/>
      <c r="H152" s="23"/>
      <c r="I152" s="23"/>
      <c r="L152" s="10"/>
    </row>
    <row r="153" spans="7:12" ht="12.75">
      <c r="G153" s="23"/>
      <c r="H153" s="23"/>
      <c r="I153" s="23"/>
      <c r="L153" s="10"/>
    </row>
    <row r="154" spans="7:12" ht="12.75">
      <c r="G154" s="23"/>
      <c r="H154" s="23"/>
      <c r="I154" s="23"/>
      <c r="L154" s="10"/>
    </row>
    <row r="155" spans="7:12" ht="12.75">
      <c r="G155" s="23"/>
      <c r="H155" s="23"/>
      <c r="I155" s="23"/>
      <c r="L155" s="10"/>
    </row>
    <row r="156" spans="7:12" ht="12.75">
      <c r="G156" s="23"/>
      <c r="H156" s="23"/>
      <c r="I156" s="23"/>
      <c r="L156" s="10"/>
    </row>
    <row r="157" spans="7:12" ht="12.75">
      <c r="G157" s="23"/>
      <c r="H157" s="23"/>
      <c r="I157" s="23"/>
      <c r="L157" s="10"/>
    </row>
    <row r="158" spans="7:12" ht="12.75">
      <c r="G158" s="23"/>
      <c r="H158" s="23"/>
      <c r="I158" s="23"/>
      <c r="L158" s="10"/>
    </row>
    <row r="159" spans="7:12" ht="12.75">
      <c r="G159" s="23"/>
      <c r="H159" s="23"/>
      <c r="I159" s="23"/>
      <c r="L159" s="10"/>
    </row>
    <row r="160" spans="7:12" ht="12.75">
      <c r="G160" s="23"/>
      <c r="H160" s="23"/>
      <c r="I160" s="23"/>
      <c r="L160" s="10"/>
    </row>
    <row r="161" spans="7:12" ht="12.75">
      <c r="G161" s="23"/>
      <c r="H161" s="23"/>
      <c r="I161" s="23"/>
      <c r="L161" s="10"/>
    </row>
    <row r="162" spans="7:12" ht="12.75">
      <c r="G162" s="23"/>
      <c r="H162" s="23"/>
      <c r="I162" s="23"/>
      <c r="L162" s="10"/>
    </row>
    <row r="163" spans="7:12" ht="12.75">
      <c r="G163" s="23"/>
      <c r="H163" s="23"/>
      <c r="I163" s="23"/>
      <c r="L163" s="10"/>
    </row>
    <row r="164" spans="7:12" ht="12.75">
      <c r="G164" s="23"/>
      <c r="H164" s="23"/>
      <c r="I164" s="23"/>
      <c r="L164" s="10"/>
    </row>
    <row r="165" spans="7:12" ht="12.75">
      <c r="G165" s="23"/>
      <c r="H165" s="23"/>
      <c r="I165" s="23"/>
      <c r="L165" s="10"/>
    </row>
    <row r="166" spans="7:12" ht="12.75">
      <c r="G166" s="23"/>
      <c r="H166" s="23"/>
      <c r="I166" s="23"/>
      <c r="L166" s="10"/>
    </row>
    <row r="167" spans="7:12" ht="12.75">
      <c r="G167" s="23"/>
      <c r="H167" s="23"/>
      <c r="I167" s="23"/>
      <c r="L167" s="10"/>
    </row>
    <row r="168" spans="7:12" ht="12.75">
      <c r="G168" s="23"/>
      <c r="H168" s="23"/>
      <c r="I168" s="23"/>
      <c r="L168" s="10"/>
    </row>
    <row r="169" spans="7:12" ht="12.75">
      <c r="G169" s="23"/>
      <c r="H169" s="23"/>
      <c r="I169" s="23"/>
      <c r="L169" s="10"/>
    </row>
    <row r="170" spans="7:12" ht="12.75">
      <c r="G170" s="23"/>
      <c r="H170" s="23"/>
      <c r="I170" s="23"/>
      <c r="L170" s="10"/>
    </row>
    <row r="171" spans="7:12" ht="12.75">
      <c r="G171" s="23"/>
      <c r="H171" s="23"/>
      <c r="I171" s="23"/>
      <c r="L171" s="10"/>
    </row>
    <row r="172" spans="7:12" ht="12.75">
      <c r="G172" s="23"/>
      <c r="H172" s="23"/>
      <c r="I172" s="23"/>
      <c r="L172" s="10"/>
    </row>
    <row r="173" spans="7:12" ht="12.75">
      <c r="G173" s="23"/>
      <c r="H173" s="23"/>
      <c r="I173" s="23"/>
      <c r="L173" s="10"/>
    </row>
    <row r="174" spans="7:12" ht="12.75">
      <c r="G174" s="23"/>
      <c r="H174" s="23"/>
      <c r="I174" s="23"/>
      <c r="L174" s="10"/>
    </row>
    <row r="175" spans="7:12" ht="12.75">
      <c r="G175" s="23"/>
      <c r="H175" s="23"/>
      <c r="I175" s="23"/>
      <c r="L175" s="10"/>
    </row>
    <row r="176" spans="7:12" ht="12.75">
      <c r="G176" s="23"/>
      <c r="H176" s="23"/>
      <c r="I176" s="23"/>
      <c r="L176" s="10"/>
    </row>
    <row r="177" spans="7:12" ht="12.75">
      <c r="G177" s="23"/>
      <c r="H177" s="23"/>
      <c r="I177" s="23"/>
      <c r="L177" s="10"/>
    </row>
    <row r="178" spans="7:12" ht="12.75">
      <c r="G178" s="23"/>
      <c r="H178" s="23"/>
      <c r="I178" s="23"/>
      <c r="L178" s="10"/>
    </row>
    <row r="179" spans="7:12" ht="12.75">
      <c r="G179" s="23"/>
      <c r="H179" s="23"/>
      <c r="I179" s="23"/>
      <c r="L179" s="10"/>
    </row>
    <row r="180" spans="7:12" ht="12.75">
      <c r="G180" s="23"/>
      <c r="H180" s="23"/>
      <c r="I180" s="23"/>
      <c r="L180" s="10"/>
    </row>
    <row r="181" spans="7:12" ht="12.75">
      <c r="G181" s="23"/>
      <c r="H181" s="23"/>
      <c r="I181" s="23"/>
      <c r="L181" s="10"/>
    </row>
    <row r="182" spans="7:12" ht="12.75">
      <c r="G182" s="23"/>
      <c r="H182" s="23"/>
      <c r="I182" s="23"/>
      <c r="L182" s="10"/>
    </row>
    <row r="183" spans="7:12" ht="12.75">
      <c r="G183" s="23"/>
      <c r="H183" s="23"/>
      <c r="I183" s="23"/>
      <c r="L183" s="10"/>
    </row>
    <row r="184" spans="7:12" ht="12.75">
      <c r="G184" s="23"/>
      <c r="H184" s="23"/>
      <c r="I184" s="23"/>
      <c r="L184" s="10"/>
    </row>
    <row r="185" spans="7:12" ht="12.75">
      <c r="G185" s="23"/>
      <c r="H185" s="23"/>
      <c r="I185" s="23"/>
      <c r="L185" s="10"/>
    </row>
    <row r="186" spans="7:12" ht="12.75">
      <c r="G186" s="23"/>
      <c r="H186" s="23"/>
      <c r="I186" s="23"/>
      <c r="L186" s="10"/>
    </row>
    <row r="187" spans="7:12" ht="12.75">
      <c r="G187" s="23"/>
      <c r="H187" s="23"/>
      <c r="I187" s="23"/>
      <c r="L187" s="10"/>
    </row>
    <row r="188" spans="7:12" ht="12.75">
      <c r="G188" s="23"/>
      <c r="H188" s="23"/>
      <c r="I188" s="23"/>
      <c r="L188" s="10"/>
    </row>
    <row r="189" spans="7:12" ht="12.75">
      <c r="G189" s="23"/>
      <c r="H189" s="23"/>
      <c r="I189" s="23"/>
      <c r="L189" s="10"/>
    </row>
    <row r="190" spans="7:12" ht="12.75">
      <c r="G190" s="23"/>
      <c r="H190" s="23"/>
      <c r="I190" s="23"/>
      <c r="L190" s="10"/>
    </row>
    <row r="191" spans="7:12" ht="12.75">
      <c r="G191" s="23"/>
      <c r="H191" s="23"/>
      <c r="I191" s="23"/>
      <c r="L191" s="10"/>
    </row>
    <row r="192" spans="7:12" ht="12.75">
      <c r="G192" s="23"/>
      <c r="H192" s="23"/>
      <c r="I192" s="23"/>
      <c r="L192" s="10"/>
    </row>
    <row r="193" spans="7:12" ht="12.75">
      <c r="G193" s="23"/>
      <c r="H193" s="23"/>
      <c r="I193" s="23"/>
      <c r="L193" s="10"/>
    </row>
    <row r="194" spans="7:12" ht="12.75">
      <c r="G194" s="23"/>
      <c r="H194" s="23"/>
      <c r="I194" s="23"/>
      <c r="L194" s="10"/>
    </row>
    <row r="195" spans="7:12" ht="12.75">
      <c r="G195" s="23"/>
      <c r="H195" s="23"/>
      <c r="I195" s="23"/>
      <c r="L195" s="10"/>
    </row>
    <row r="196" spans="7:12" ht="12.75">
      <c r="G196" s="23"/>
      <c r="H196" s="23"/>
      <c r="I196" s="23"/>
      <c r="L196" s="10"/>
    </row>
    <row r="197" spans="7:12" ht="12.75">
      <c r="G197" s="23"/>
      <c r="H197" s="23"/>
      <c r="I197" s="23"/>
      <c r="L197" s="10"/>
    </row>
    <row r="198" spans="7:12" ht="12.75">
      <c r="G198" s="23"/>
      <c r="H198" s="23"/>
      <c r="I198" s="23"/>
      <c r="L198" s="10"/>
    </row>
    <row r="199" spans="7:12" ht="12.75">
      <c r="G199" s="23"/>
      <c r="H199" s="23"/>
      <c r="I199" s="23"/>
      <c r="L199" s="10"/>
    </row>
    <row r="200" spans="7:12" ht="12.75">
      <c r="G200" s="23"/>
      <c r="H200" s="23"/>
      <c r="I200" s="23"/>
      <c r="L200" s="10"/>
    </row>
    <row r="201" spans="7:12" ht="12.75">
      <c r="G201" s="23"/>
      <c r="H201" s="23"/>
      <c r="I201" s="23"/>
      <c r="L201" s="10"/>
    </row>
    <row r="202" spans="7:12" ht="12.75">
      <c r="G202" s="23"/>
      <c r="H202" s="23"/>
      <c r="I202" s="23"/>
      <c r="L202" s="10"/>
    </row>
  </sheetData>
  <sheetProtection/>
  <mergeCells count="29">
    <mergeCell ref="R92:S92"/>
    <mergeCell ref="B86:K86"/>
    <mergeCell ref="H11:H12"/>
    <mergeCell ref="J11:J12"/>
    <mergeCell ref="E89:F89"/>
    <mergeCell ref="O92:P92"/>
    <mergeCell ref="C10:C12"/>
    <mergeCell ref="E10:E12"/>
    <mergeCell ref="B10:B12"/>
    <mergeCell ref="D10:D12"/>
    <mergeCell ref="B5:K5"/>
    <mergeCell ref="B6:E6"/>
    <mergeCell ref="B7:E7"/>
    <mergeCell ref="B8:E8"/>
    <mergeCell ref="F6:K6"/>
    <mergeCell ref="F7:K7"/>
    <mergeCell ref="F8:K8"/>
    <mergeCell ref="B2:C3"/>
    <mergeCell ref="E2:E3"/>
    <mergeCell ref="F2:K3"/>
    <mergeCell ref="B4:K4"/>
    <mergeCell ref="B9:E9"/>
    <mergeCell ref="J10:K10"/>
    <mergeCell ref="H10:I10"/>
    <mergeCell ref="I11:I12"/>
    <mergeCell ref="F10:F12"/>
    <mergeCell ref="F9:K9"/>
    <mergeCell ref="K11:K12"/>
    <mergeCell ref="G10:G12"/>
  </mergeCells>
  <conditionalFormatting sqref="F49 G32:H34 F36:F47 G37:G39">
    <cfRule type="cellIs" priority="1" dxfId="0" operator="equal" stopIfTrue="1">
      <formula>0</formula>
    </cfRule>
  </conditionalFormatting>
  <printOptions gridLines="1"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6.00390625" style="2" customWidth="1"/>
    <col min="2" max="2" width="55.7109375" style="2" customWidth="1"/>
    <col min="3" max="3" width="15.8515625" style="8" bestFit="1" customWidth="1"/>
    <col min="4" max="4" width="16.28125" style="12" customWidth="1"/>
    <col min="5" max="5" width="14.00390625" style="2" customWidth="1"/>
    <col min="6" max="8" width="12.8515625" style="2" bestFit="1" customWidth="1"/>
    <col min="9" max="9" width="14.28125" style="2" bestFit="1" customWidth="1"/>
    <col min="10" max="14" width="12.8515625" style="2" bestFit="1" customWidth="1"/>
    <col min="15" max="16384" width="9.140625" style="2" customWidth="1"/>
  </cols>
  <sheetData>
    <row r="1" spans="1:15" ht="48" customHeight="1">
      <c r="A1" s="139"/>
      <c r="B1" s="247" t="s">
        <v>12</v>
      </c>
      <c r="C1" s="247"/>
      <c r="D1" s="247"/>
      <c r="E1" s="247"/>
      <c r="F1" s="247"/>
      <c r="G1" s="247"/>
      <c r="H1" s="248"/>
      <c r="I1" s="24"/>
      <c r="J1" s="24"/>
      <c r="K1" s="24"/>
      <c r="L1" s="24"/>
      <c r="M1" s="24"/>
      <c r="N1" s="24"/>
      <c r="O1" s="3"/>
    </row>
    <row r="2" spans="1:15" ht="18" customHeight="1">
      <c r="A2" s="140"/>
      <c r="B2" s="138"/>
      <c r="C2" s="138"/>
      <c r="D2" s="138"/>
      <c r="E2" s="245" t="s">
        <v>177</v>
      </c>
      <c r="F2" s="245"/>
      <c r="G2" s="245"/>
      <c r="H2" s="246"/>
      <c r="I2" s="6"/>
      <c r="J2" s="6"/>
      <c r="K2" s="6"/>
      <c r="L2" s="6"/>
      <c r="M2" s="13"/>
      <c r="N2" s="13"/>
      <c r="O2" s="3"/>
    </row>
    <row r="3" spans="1:15" ht="18" customHeight="1" thickBot="1">
      <c r="A3" s="140" t="s">
        <v>176</v>
      </c>
      <c r="B3" s="138"/>
      <c r="C3" s="138"/>
      <c r="D3" s="138"/>
      <c r="E3" s="245"/>
      <c r="F3" s="245"/>
      <c r="G3" s="245"/>
      <c r="H3" s="246"/>
      <c r="I3" s="6"/>
      <c r="J3" s="6"/>
      <c r="K3" s="6"/>
      <c r="L3" s="6"/>
      <c r="M3" s="13"/>
      <c r="N3" s="13"/>
      <c r="O3" s="3"/>
    </row>
    <row r="4" spans="1:15" ht="36" customHeight="1">
      <c r="A4" s="141" t="s">
        <v>9</v>
      </c>
      <c r="B4" s="142" t="s">
        <v>13</v>
      </c>
      <c r="C4" s="143" t="s">
        <v>14</v>
      </c>
      <c r="D4" s="144" t="s">
        <v>15</v>
      </c>
      <c r="E4" s="142" t="s">
        <v>16</v>
      </c>
      <c r="F4" s="142" t="s">
        <v>17</v>
      </c>
      <c r="G4" s="142" t="s">
        <v>18</v>
      </c>
      <c r="H4" s="145" t="s">
        <v>174</v>
      </c>
      <c r="I4" s="6"/>
      <c r="J4" s="6"/>
      <c r="K4" s="6"/>
      <c r="L4" s="6"/>
      <c r="M4" s="6"/>
      <c r="N4" s="6"/>
      <c r="O4" s="3"/>
    </row>
    <row r="5" spans="1:15" ht="14.25" customHeight="1">
      <c r="A5" s="236" t="s">
        <v>1</v>
      </c>
      <c r="B5" s="238" t="str">
        <f>'Planilha de Custos'!E13</f>
        <v>SERVIÇOS PRELIMINARES</v>
      </c>
      <c r="C5" s="59">
        <f>C6/C16</f>
        <v>0.01677700314247054</v>
      </c>
      <c r="D5" s="146">
        <f aca="true" t="shared" si="0" ref="D5:D13">SUM(E5:H5)</f>
        <v>1</v>
      </c>
      <c r="E5" s="146">
        <v>1</v>
      </c>
      <c r="F5" s="60">
        <v>0</v>
      </c>
      <c r="G5" s="60"/>
      <c r="H5" s="114"/>
      <c r="I5" s="25"/>
      <c r="J5" s="25"/>
      <c r="K5" s="25"/>
      <c r="L5" s="25"/>
      <c r="M5" s="25"/>
      <c r="N5" s="25"/>
      <c r="O5" s="3"/>
    </row>
    <row r="6" spans="1:15" ht="14.25" customHeight="1">
      <c r="A6" s="237"/>
      <c r="B6" s="239"/>
      <c r="C6" s="111">
        <f>'Planilha de Custos'!K13</f>
        <v>60940.375461464115</v>
      </c>
      <c r="D6" s="61">
        <f t="shared" si="0"/>
        <v>60940.375461464115</v>
      </c>
      <c r="E6" s="62">
        <f>E5*$C$6</f>
        <v>60940.375461464115</v>
      </c>
      <c r="F6" s="62">
        <f>F5*$C$6</f>
        <v>0</v>
      </c>
      <c r="G6" s="62">
        <f>G5*$C$6</f>
        <v>0</v>
      </c>
      <c r="H6" s="115">
        <f>H5*$C$6</f>
        <v>0</v>
      </c>
      <c r="I6" s="26"/>
      <c r="J6" s="26"/>
      <c r="K6" s="26"/>
      <c r="L6" s="26"/>
      <c r="M6" s="26"/>
      <c r="N6" s="26"/>
      <c r="O6" s="3"/>
    </row>
    <row r="7" spans="1:15" ht="14.25" customHeight="1">
      <c r="A7" s="252" t="s">
        <v>6</v>
      </c>
      <c r="B7" s="251" t="str">
        <f>'Planilha de Custos'!E24</f>
        <v>ADMINISTRAÇÃO DA OBRA</v>
      </c>
      <c r="C7" s="63">
        <f>C8/C16</f>
        <v>0.047662579707156184</v>
      </c>
      <c r="D7" s="146">
        <f t="shared" si="0"/>
        <v>1</v>
      </c>
      <c r="E7" s="146">
        <v>0.25</v>
      </c>
      <c r="F7" s="146">
        <v>0.25</v>
      </c>
      <c r="G7" s="146">
        <v>0.25</v>
      </c>
      <c r="H7" s="147">
        <v>0.25</v>
      </c>
      <c r="I7" s="25"/>
      <c r="J7" s="25"/>
      <c r="K7" s="25"/>
      <c r="L7" s="25"/>
      <c r="M7" s="25"/>
      <c r="N7" s="25"/>
      <c r="O7" s="3"/>
    </row>
    <row r="8" spans="1:15" ht="14.25" customHeight="1">
      <c r="A8" s="250"/>
      <c r="B8" s="238"/>
      <c r="C8" s="111">
        <f>'Planilha de Custos'!K24</f>
        <v>173128.38760000002</v>
      </c>
      <c r="D8" s="61">
        <f t="shared" si="0"/>
        <v>173128.38760000002</v>
      </c>
      <c r="E8" s="62">
        <f>E7*$C$8</f>
        <v>43282.096900000004</v>
      </c>
      <c r="F8" s="62">
        <f>F7*$C$8</f>
        <v>43282.096900000004</v>
      </c>
      <c r="G8" s="62">
        <f>G7*$C$8</f>
        <v>43282.096900000004</v>
      </c>
      <c r="H8" s="115">
        <f>H7*$C$8</f>
        <v>43282.096900000004</v>
      </c>
      <c r="I8" s="26"/>
      <c r="J8" s="26"/>
      <c r="K8" s="26"/>
      <c r="L8" s="26"/>
      <c r="M8" s="26"/>
      <c r="N8" s="26"/>
      <c r="O8" s="3"/>
    </row>
    <row r="9" spans="1:15" ht="14.25" customHeight="1">
      <c r="A9" s="252" t="s">
        <v>2</v>
      </c>
      <c r="B9" s="251" t="str">
        <f>'Planilha de Custos'!E31</f>
        <v>ESCAVAÇÃO E TERRAPLANAGEM</v>
      </c>
      <c r="C9" s="64">
        <f>C10/C16</f>
        <v>0.0950273170808394</v>
      </c>
      <c r="D9" s="146">
        <f t="shared" si="0"/>
        <v>1</v>
      </c>
      <c r="E9" s="146">
        <v>0.3</v>
      </c>
      <c r="F9" s="146">
        <v>0.4</v>
      </c>
      <c r="G9" s="146">
        <v>0.3</v>
      </c>
      <c r="H9" s="114">
        <v>0</v>
      </c>
      <c r="I9" s="27"/>
      <c r="J9" s="27"/>
      <c r="K9" s="27"/>
      <c r="L9" s="28"/>
      <c r="M9" s="29"/>
      <c r="N9" s="29"/>
      <c r="O9" s="3"/>
    </row>
    <row r="10" spans="1:15" ht="14.25" customHeight="1">
      <c r="A10" s="250"/>
      <c r="B10" s="238"/>
      <c r="C10" s="111">
        <f>'Planilha de Custos'!K31</f>
        <v>345174.9</v>
      </c>
      <c r="D10" s="61">
        <f t="shared" si="0"/>
        <v>345174.9</v>
      </c>
      <c r="E10" s="62">
        <f>E9*$C$10</f>
        <v>103552.47</v>
      </c>
      <c r="F10" s="62">
        <f>F9*$C$10</f>
        <v>138069.96000000002</v>
      </c>
      <c r="G10" s="62">
        <f>G9*$C$10</f>
        <v>103552.47</v>
      </c>
      <c r="H10" s="115">
        <f>H9*$C$10</f>
        <v>0</v>
      </c>
      <c r="I10" s="26"/>
      <c r="J10" s="26"/>
      <c r="K10" s="26"/>
      <c r="L10" s="26"/>
      <c r="M10" s="26"/>
      <c r="N10" s="26"/>
      <c r="O10" s="3"/>
    </row>
    <row r="11" spans="1:15" ht="14.25" customHeight="1">
      <c r="A11" s="252" t="s">
        <v>3</v>
      </c>
      <c r="B11" s="251" t="str">
        <f>'Planilha de Custos'!E35</f>
        <v>PAVIMENTAÇÃO ASFALTICA</v>
      </c>
      <c r="C11" s="64">
        <f>C12/C16</f>
        <v>0.5497997210091707</v>
      </c>
      <c r="D11" s="146">
        <f t="shared" si="0"/>
        <v>1</v>
      </c>
      <c r="E11" s="146">
        <v>0.1</v>
      </c>
      <c r="F11" s="146">
        <v>0.4</v>
      </c>
      <c r="G11" s="146">
        <v>0.4</v>
      </c>
      <c r="H11" s="147">
        <v>0.1</v>
      </c>
      <c r="I11" s="27"/>
      <c r="J11" s="27"/>
      <c r="K11" s="27"/>
      <c r="L11" s="28"/>
      <c r="M11" s="29"/>
      <c r="N11" s="29"/>
      <c r="O11" s="3"/>
    </row>
    <row r="12" spans="1:15" ht="14.25" customHeight="1">
      <c r="A12" s="250"/>
      <c r="B12" s="238"/>
      <c r="C12" s="111">
        <f>'Planilha de Custos'!K35</f>
        <v>1997079.0457856003</v>
      </c>
      <c r="D12" s="61">
        <f t="shared" si="0"/>
        <v>1997079.0457856003</v>
      </c>
      <c r="E12" s="62">
        <f>E11*$C$12</f>
        <v>199707.90457856003</v>
      </c>
      <c r="F12" s="62">
        <f>F11*$C$12</f>
        <v>798831.6183142401</v>
      </c>
      <c r="G12" s="62">
        <f>G11*$C$12</f>
        <v>798831.6183142401</v>
      </c>
      <c r="H12" s="115">
        <f>H11*$C$12</f>
        <v>199707.90457856003</v>
      </c>
      <c r="I12" s="26"/>
      <c r="J12" s="26"/>
      <c r="K12" s="26"/>
      <c r="L12" s="26"/>
      <c r="M12" s="26"/>
      <c r="N12" s="26"/>
      <c r="O12" s="3"/>
    </row>
    <row r="13" spans="1:15" ht="14.25" customHeight="1">
      <c r="A13" s="249" t="s">
        <v>4</v>
      </c>
      <c r="B13" s="251" t="str">
        <f>'Planilha de Custos'!E50</f>
        <v>OBRAS COMPLEMENTARES / DRENAGEM</v>
      </c>
      <c r="C13" s="64">
        <f>C14/C16</f>
        <v>0.2907333790603631</v>
      </c>
      <c r="D13" s="146">
        <f t="shared" si="0"/>
        <v>1</v>
      </c>
      <c r="E13" s="146">
        <v>0.1</v>
      </c>
      <c r="F13" s="146">
        <v>0.4</v>
      </c>
      <c r="G13" s="146">
        <v>0.4</v>
      </c>
      <c r="H13" s="147">
        <v>0.1</v>
      </c>
      <c r="I13" s="27"/>
      <c r="J13" s="27"/>
      <c r="K13" s="27"/>
      <c r="L13" s="28"/>
      <c r="M13" s="29"/>
      <c r="N13" s="29"/>
      <c r="O13" s="3"/>
    </row>
    <row r="14" spans="1:15" ht="14.25" customHeight="1">
      <c r="A14" s="250"/>
      <c r="B14" s="238"/>
      <c r="C14" s="111">
        <f>'Planilha de Custos'!K50</f>
        <v>1056052.808041</v>
      </c>
      <c r="D14" s="110" t="s">
        <v>183</v>
      </c>
      <c r="E14" s="62">
        <f>E13*$C$14</f>
        <v>105605.28080410001</v>
      </c>
      <c r="F14" s="62">
        <f>F13*$C$14</f>
        <v>422421.12321640004</v>
      </c>
      <c r="G14" s="62">
        <f>G13*$C$14</f>
        <v>422421.12321640004</v>
      </c>
      <c r="H14" s="115">
        <f>H13*$C$14</f>
        <v>105605.28080410001</v>
      </c>
      <c r="I14" s="26"/>
      <c r="J14" s="26"/>
      <c r="K14" s="26"/>
      <c r="L14" s="26"/>
      <c r="M14" s="26"/>
      <c r="N14" s="26"/>
      <c r="O14" s="3"/>
    </row>
    <row r="15" spans="1:15" ht="14.25" customHeight="1">
      <c r="A15" s="241" t="s">
        <v>10</v>
      </c>
      <c r="B15" s="242"/>
      <c r="C15" s="65">
        <f>C13+C11+C9+C7+C5</f>
        <v>1</v>
      </c>
      <c r="D15" s="66">
        <f>SUM(E15:H15)</f>
        <v>1</v>
      </c>
      <c r="E15" s="67">
        <f>(E6+E8+E10+E12+E14)/$C16</f>
        <v>0.1412541532004648</v>
      </c>
      <c r="F15" s="67">
        <f>(F6+F8+F10+F12+F14)/$C16</f>
        <v>0.3861398117869384</v>
      </c>
      <c r="G15" s="67">
        <f>(G6+G8+G10+G12+G14)/$C16</f>
        <v>0.3766370800788544</v>
      </c>
      <c r="H15" s="116">
        <f>(H6+H8+H10+H12+H14)/$C16</f>
        <v>0.09596895493374243</v>
      </c>
      <c r="I15" s="30"/>
      <c r="J15" s="30"/>
      <c r="K15" s="30"/>
      <c r="L15" s="30"/>
      <c r="M15" s="30"/>
      <c r="N15" s="30"/>
      <c r="O15" s="3"/>
    </row>
    <row r="16" spans="1:15" ht="13.5" customHeight="1" thickBot="1">
      <c r="A16" s="243"/>
      <c r="B16" s="244"/>
      <c r="C16" s="68">
        <f>SUM(C14,C12,C10,C8,C6)</f>
        <v>3632375.5168880643</v>
      </c>
      <c r="D16" s="69">
        <f>SUM(E16:H16)</f>
        <v>3632375.5168880643</v>
      </c>
      <c r="E16" s="70">
        <f>SUM(E14+E12+E10+E8+E6)</f>
        <v>513088.1277441241</v>
      </c>
      <c r="F16" s="70">
        <f>SUM(F14+F12+F10+F8+F6)</f>
        <v>1402604.79843064</v>
      </c>
      <c r="G16" s="70">
        <f>SUM(G14+G12+G10+G8+G6)</f>
        <v>1368087.30843064</v>
      </c>
      <c r="H16" s="117">
        <f>SUM(H14+H12+H10+H8+H6)</f>
        <v>348595.28228266</v>
      </c>
      <c r="I16" s="31"/>
      <c r="J16" s="31"/>
      <c r="K16" s="31"/>
      <c r="L16" s="31"/>
      <c r="M16" s="31"/>
      <c r="N16" s="31"/>
      <c r="O16" s="3"/>
    </row>
    <row r="17" spans="1:15" ht="12" customHeight="1">
      <c r="A17" s="71"/>
      <c r="B17" s="72"/>
      <c r="C17" s="73"/>
      <c r="D17" s="74"/>
      <c r="E17" s="72"/>
      <c r="F17" s="72"/>
      <c r="G17" s="72"/>
      <c r="H17" s="112"/>
      <c r="I17" s="3"/>
      <c r="J17" s="3"/>
      <c r="K17" s="3"/>
      <c r="L17" s="3"/>
      <c r="M17" s="3"/>
      <c r="N17" s="3"/>
      <c r="O17" s="3"/>
    </row>
    <row r="18" spans="1:15" ht="14.25" customHeight="1">
      <c r="A18" s="75" t="s">
        <v>255</v>
      </c>
      <c r="B18" s="77"/>
      <c r="C18" s="76"/>
      <c r="D18" s="77"/>
      <c r="E18" s="77"/>
      <c r="F18" s="77"/>
      <c r="G18" s="77"/>
      <c r="H18" s="149"/>
      <c r="I18" s="3"/>
      <c r="J18" s="4" t="s">
        <v>19</v>
      </c>
      <c r="K18" s="3"/>
      <c r="L18" s="3"/>
      <c r="M18" s="3"/>
      <c r="N18" s="3"/>
      <c r="O18" s="3"/>
    </row>
    <row r="19" spans="1:15" ht="14.25" customHeight="1">
      <c r="A19" s="75"/>
      <c r="B19" s="72"/>
      <c r="C19" s="76"/>
      <c r="D19" s="77"/>
      <c r="E19" s="72"/>
      <c r="F19" s="72"/>
      <c r="G19" s="72"/>
      <c r="H19" s="112"/>
      <c r="I19" s="3"/>
      <c r="J19" s="3"/>
      <c r="K19" s="3"/>
      <c r="L19" s="3"/>
      <c r="M19" s="3"/>
      <c r="N19" s="3"/>
      <c r="O19" s="3"/>
    </row>
    <row r="20" spans="1:15" ht="14.25" customHeight="1">
      <c r="A20" s="78"/>
      <c r="B20" s="79"/>
      <c r="C20" s="80"/>
      <c r="D20" s="240"/>
      <c r="E20" s="240"/>
      <c r="F20" s="148"/>
      <c r="G20" s="148"/>
      <c r="H20" s="113"/>
      <c r="I20" s="3"/>
      <c r="J20" s="3"/>
      <c r="K20" s="3"/>
      <c r="L20" s="3"/>
      <c r="M20" s="3"/>
      <c r="N20" s="3"/>
      <c r="O20" s="3"/>
    </row>
    <row r="21" spans="1:15" ht="15" customHeight="1" thickBot="1">
      <c r="A21" s="150"/>
      <c r="B21" s="151"/>
      <c r="C21" s="152"/>
      <c r="D21" s="153"/>
      <c r="E21" s="81"/>
      <c r="F21" s="81"/>
      <c r="G21" s="81"/>
      <c r="H21" s="118"/>
      <c r="I21" s="3"/>
      <c r="J21" s="3"/>
      <c r="K21" s="3"/>
      <c r="L21" s="3"/>
      <c r="M21" s="3"/>
      <c r="N21" s="3"/>
      <c r="O21" s="3"/>
    </row>
    <row r="22" ht="13.5" customHeight="1"/>
    <row r="23" spans="6:8" ht="13.5" customHeight="1">
      <c r="F23" s="5"/>
      <c r="G23" s="5"/>
      <c r="H23" s="5"/>
    </row>
    <row r="24" ht="13.5" customHeight="1"/>
  </sheetData>
  <sheetProtection/>
  <mergeCells count="14">
    <mergeCell ref="E2:H3"/>
    <mergeCell ref="B1:H1"/>
    <mergeCell ref="A13:A14"/>
    <mergeCell ref="B13:B14"/>
    <mergeCell ref="A9:A10"/>
    <mergeCell ref="B9:B10"/>
    <mergeCell ref="B7:B8"/>
    <mergeCell ref="A7:A8"/>
    <mergeCell ref="A11:A12"/>
    <mergeCell ref="B11:B12"/>
    <mergeCell ref="A5:A6"/>
    <mergeCell ref="B5:B6"/>
    <mergeCell ref="D20:E20"/>
    <mergeCell ref="A15:B1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94" r:id="rId2"/>
  <ignoredErrors>
    <ignoredError sqref="D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moniquecoelho</cp:lastModifiedBy>
  <cp:lastPrinted>2012-01-27T10:49:07Z</cp:lastPrinted>
  <dcterms:created xsi:type="dcterms:W3CDTF">2006-09-22T13:55:22Z</dcterms:created>
  <dcterms:modified xsi:type="dcterms:W3CDTF">2012-01-30T19:46:03Z</dcterms:modified>
  <cp:category/>
  <cp:version/>
  <cp:contentType/>
  <cp:contentStatus/>
</cp:coreProperties>
</file>